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935" windowWidth="11700" windowHeight="2220" firstSheet="1" activeTab="2"/>
  </bookViews>
  <sheets>
    <sheet name="Fiche de renseignements compéti" sheetId="1" r:id="rId1"/>
    <sheet name="Organisation" sheetId="2" r:id="rId2"/>
    <sheet name="grille" sheetId="3" r:id="rId3"/>
    <sheet name="poules" sheetId="4" r:id="rId4"/>
    <sheet name="Classement" sheetId="5" r:id="rId5"/>
    <sheet name="Arbitres" sheetId="6" r:id="rId6"/>
    <sheet name="emmargement" sheetId="7" r:id="rId7"/>
  </sheets>
  <externalReferences>
    <externalReference r:id="rId10"/>
    <externalReference r:id="rId11"/>
  </externalReferences>
  <definedNames>
    <definedName name="_xlfn.IFERROR" hidden="1">#NAME?</definedName>
    <definedName name="catégorie">'Fiche de renseignements compéti'!$C$5</definedName>
    <definedName name="date">'Fiche de renseignements compéti'!$C$6</definedName>
    <definedName name="durée1">'Fiche de renseignements compéti'!$C$9</definedName>
    <definedName name="duréematch">'Fiche de renseignements compéti'!$C$8</definedName>
    <definedName name="e3c">'poules'!$C$28</definedName>
    <definedName name="e3d">'poules'!$C$29</definedName>
    <definedName name="e4x">'poules'!$C$27</definedName>
    <definedName name="Equipes">#REF!</definedName>
    <definedName name="etiquette">#REF!</definedName>
    <definedName name="f_151">'poules'!$C$46</definedName>
    <definedName name="f_152">'poules'!$C$45</definedName>
    <definedName name="f_191">'poules'!$J$41</definedName>
    <definedName name="f_192">'poules'!$J$42</definedName>
    <definedName name="f_1e">'poules'!$P$38</definedName>
    <definedName name="f_1f">'poules'!$T$38</definedName>
    <definedName name="f_1f1">'poules'!$R$45</definedName>
    <definedName name="f_1f2">'poules'!$R$46</definedName>
    <definedName name="f_251">'poules'!$R$42</definedName>
    <definedName name="f_252">'poules'!$R$41</definedName>
    <definedName name="f_291">'poules'!$C$41</definedName>
    <definedName name="f_292">'poules'!$C$42</definedName>
    <definedName name="f_2e">'poules'!$C$37</definedName>
    <definedName name="f_2f">'poules'!$G$38</definedName>
    <definedName name="f_2f1">'poules'!$J$45</definedName>
    <definedName name="f_2f2">'poules'!$J$46</definedName>
    <definedName name="f_3e">'poules'!$G$37</definedName>
    <definedName name="f_3f">'poules'!$C$38</definedName>
    <definedName name="f_3g">'poules'!$P$37</definedName>
    <definedName name="f_4g">'poules'!$T$37</definedName>
    <definedName name="f1_1x">'poules'!$P$33</definedName>
    <definedName name="f1_2g">'poules'!$P$34</definedName>
    <definedName name="f2_1g">'poules'!$T$34</definedName>
    <definedName name="f2_1y">'poules'!$T$33</definedName>
    <definedName name="f3a">'poules'!$C$33</definedName>
    <definedName name="f3b">'poules'!$C$34</definedName>
    <definedName name="f4y">'poules'!$C$32</definedName>
    <definedName name="g2x">'poules'!$P$27</definedName>
    <definedName name="g2y">'poules'!$P$29</definedName>
    <definedName name="g3x">'poules'!$P$28</definedName>
    <definedName name="g3y">'poules'!$P$30</definedName>
    <definedName name="HoraireMatchJ1">'Fiche de renseignements compéti'!$C$10</definedName>
    <definedName name="HoraireMatchJ2">'Fiche de renseignements compéti'!$C$11</definedName>
    <definedName name="_xlnm.Print_Titles" localSheetId="2">'grille'!$1:$8</definedName>
    <definedName name="lieu">'Fiche de renseignements compéti'!$C$7</definedName>
    <definedName name="m10b">#REF!</definedName>
    <definedName name="m10n">#REF!</definedName>
    <definedName name="m11b">#REF!</definedName>
    <definedName name="M11N">#REF!</definedName>
    <definedName name="m12b">#REF!</definedName>
    <definedName name="m12n">#REF!</definedName>
    <definedName name="m13b">#REF!</definedName>
    <definedName name="m13n">#REF!</definedName>
    <definedName name="m14b">#REF!</definedName>
    <definedName name="m14n">#REF!</definedName>
    <definedName name="m15b">#REF!</definedName>
    <definedName name="m15n">#REF!</definedName>
    <definedName name="m16b">#REF!</definedName>
    <definedName name="m16n">#REF!</definedName>
    <definedName name="m17b">#REF!</definedName>
    <definedName name="m17n">#REF!</definedName>
    <definedName name="m18b">#REF!</definedName>
    <definedName name="m18n">#REF!</definedName>
    <definedName name="m19b">#REF!</definedName>
    <definedName name="m19n">#REF!</definedName>
    <definedName name="m1b">#REF!</definedName>
    <definedName name="m1n">#REF!</definedName>
    <definedName name="m2_1">'[2]poules'!$C$21</definedName>
    <definedName name="m2_2">'[2]poules'!$X$21</definedName>
    <definedName name="m2_3">'[2]poules'!$P$21</definedName>
    <definedName name="m2_4">'[2]poules'!$G$21</definedName>
    <definedName name="m2_5">'[2]poules'!$G$22</definedName>
    <definedName name="m2_6">'[2]poules'!$P$22</definedName>
    <definedName name="m2_7">'[2]poules'!$X$22</definedName>
    <definedName name="m2_8">'[2]poules'!$C$22</definedName>
    <definedName name="m2_g29">'[2]poules'!$Q$26</definedName>
    <definedName name="m2_g30">'[2]poules'!$Q$25</definedName>
    <definedName name="m2_g31">'[2]poules'!$Z$26</definedName>
    <definedName name="m2_g32">'[2]poules'!$Z$25</definedName>
    <definedName name="m2_g33">'[2]poules'!$H$30</definedName>
    <definedName name="m2_g34">'[2]poules'!$H$29</definedName>
    <definedName name="m2_g35">'[2]poules'!$Z$30</definedName>
    <definedName name="m2_g36">'[2]poules'!$Z$29</definedName>
    <definedName name="m2_p29">'[2]poules'!$C$26</definedName>
    <definedName name="m2_p30">'[2]poules'!$C$25</definedName>
    <definedName name="m2_p31">'[2]poules'!$H$26</definedName>
    <definedName name="m2_p32">'[2]poules'!$H$25</definedName>
    <definedName name="m2_p33">'[2]poules'!$C$30</definedName>
    <definedName name="m2_p34">'[2]poules'!$C$29</definedName>
    <definedName name="m2_p35">'[2]poules'!$Q$30</definedName>
    <definedName name="m2_p36">'[2]poules'!$Q$29</definedName>
    <definedName name="m20b">#REF!</definedName>
    <definedName name="m20n">#REF!</definedName>
    <definedName name="m21b">#REF!</definedName>
    <definedName name="m21n">#REF!</definedName>
    <definedName name="m22b">#REF!</definedName>
    <definedName name="m22n">#REF!</definedName>
    <definedName name="m23b">#REF!</definedName>
    <definedName name="m23n">#REF!</definedName>
    <definedName name="m24b">#REF!</definedName>
    <definedName name="m24n">#REF!</definedName>
    <definedName name="m25b">#REF!</definedName>
    <definedName name="m25n">#REF!</definedName>
    <definedName name="m26b">#REF!</definedName>
    <definedName name="m26n">#REF!</definedName>
    <definedName name="m27b">#REF!</definedName>
    <definedName name="m27n">#REF!</definedName>
    <definedName name="m28b">#REF!</definedName>
    <definedName name="m28n">#REF!</definedName>
    <definedName name="m29b">#REF!</definedName>
    <definedName name="m29n">#REF!</definedName>
    <definedName name="m2a">'[2]Fiche de renseignements compéti'!$B$17</definedName>
    <definedName name="m2b">'[2]Fiche de renseignements compéti'!$B$18</definedName>
    <definedName name="m2c">'[2]Fiche de renseignements compéti'!$B$19</definedName>
    <definedName name="m2d">'[2]Fiche de renseignements compéti'!$B$20</definedName>
    <definedName name="m2e">'[2]Fiche de renseignements compéti'!$B$21</definedName>
    <definedName name="m2f">'[2]Fiche de renseignements compéti'!$B$22</definedName>
    <definedName name="m2g">'[2]Fiche de renseignements compéti'!$B$23</definedName>
    <definedName name="m2h">'[2]Fiche de renseignements compéti'!$B$24</definedName>
    <definedName name="m2n">#REF!</definedName>
    <definedName name="m30b">#REF!</definedName>
    <definedName name="m30n">#REF!</definedName>
    <definedName name="m3b">#REF!</definedName>
    <definedName name="m3n">#REF!</definedName>
    <definedName name="m4b">#REF!</definedName>
    <definedName name="m4n">#REF!</definedName>
    <definedName name="m5b">#REF!</definedName>
    <definedName name="m5n">#REF!</definedName>
    <definedName name="m6b">#REF!</definedName>
    <definedName name="m6n">#REF!</definedName>
    <definedName name="m7b">#REF!</definedName>
    <definedName name="m7n">#REF!</definedName>
    <definedName name="m8b">#REF!</definedName>
    <definedName name="m8n">#REF!</definedName>
    <definedName name="m9b">#REF!</definedName>
    <definedName name="m9n">#REF!</definedName>
    <definedName name="ma2b">#REF!</definedName>
    <definedName name="NombreMatchsPauseRepas">'Fiche de renseignements compéti'!$D$36</definedName>
    <definedName name="pa1">'Fiche de renseignements compéti'!$B$19</definedName>
    <definedName name="pa5">'Fiche de renseignements compéti'!$B$20</definedName>
    <definedName name="pa9">'Fiche de renseignements compéti'!$B$21</definedName>
    <definedName name="pb10">'Fiche de renseignements compéti'!$B$25</definedName>
    <definedName name="pb2">'Fiche de renseignements compéti'!$B$23</definedName>
    <definedName name="pb6">'Fiche de renseignements compéti'!$B$24</definedName>
    <definedName name="pc11">'Fiche de renseignements compéti'!$B$29</definedName>
    <definedName name="pc3">'Fiche de renseignements compéti'!$B$27</definedName>
    <definedName name="pc7">'Fiche de renseignements compéti'!$B$28</definedName>
    <definedName name="pd12">'Fiche de renseignements compéti'!$B$33</definedName>
    <definedName name="pd4">'Fiche de renseignements compéti'!$B$31</definedName>
    <definedName name="pd8">'Fiche de renseignements compéti'!$B$32</definedName>
    <definedName name="saison">'Fiche de renseignements compéti'!$C$4</definedName>
    <definedName name="SurveillanceAquatique" localSheetId="1">'[1]grille'!#REF!</definedName>
    <definedName name="SurveillancePrincipal" localSheetId="1">'[1]grille'!#REF!</definedName>
    <definedName name="x1a">'poules'!$C$20</definedName>
    <definedName name="x1b">'poules'!$C$22</definedName>
    <definedName name="x2a">'poules'!$C$21</definedName>
    <definedName name="x2b">'poules'!$C$23</definedName>
    <definedName name="y1c">'poules'!$P$20</definedName>
    <definedName name="y1d">'poules'!$P$22</definedName>
    <definedName name="y2c">'poules'!$P$21</definedName>
    <definedName name="y2d">'poules'!$P$23</definedName>
    <definedName name="_xlnm.Print_Area" localSheetId="6">'emmargement'!$A$1:$G$38</definedName>
    <definedName name="_xlnm.Print_Area" localSheetId="2">'grille'!$A$1:$O$54</definedName>
    <definedName name="_xlnm.Print_Area" localSheetId="1">'Organisation'!$A$1:$I$33</definedName>
  </definedNames>
  <calcPr fullCalcOnLoad="1"/>
</workbook>
</file>

<file path=xl/sharedStrings.xml><?xml version="1.0" encoding="utf-8"?>
<sst xmlns="http://schemas.openxmlformats.org/spreadsheetml/2006/main" count="550" uniqueCount="261">
  <si>
    <t>Horaires</t>
  </si>
  <si>
    <t>Noir</t>
  </si>
  <si>
    <t>Blanc</t>
  </si>
  <si>
    <t>Equipes Blanches</t>
  </si>
  <si>
    <t>Equipes Noires</t>
  </si>
  <si>
    <t>Rep</t>
  </si>
  <si>
    <t>N°</t>
  </si>
  <si>
    <t>A1</t>
  </si>
  <si>
    <t>A5</t>
  </si>
  <si>
    <t>B2</t>
  </si>
  <si>
    <t>C3</t>
  </si>
  <si>
    <t>D4</t>
  </si>
  <si>
    <t>B6</t>
  </si>
  <si>
    <t>C7</t>
  </si>
  <si>
    <t>D8</t>
  </si>
  <si>
    <t>A9</t>
  </si>
  <si>
    <t>B10</t>
  </si>
  <si>
    <t>C11</t>
  </si>
  <si>
    <t>D12</t>
  </si>
  <si>
    <t>1A</t>
  </si>
  <si>
    <t>2A</t>
  </si>
  <si>
    <t>1C</t>
  </si>
  <si>
    <t>2C</t>
  </si>
  <si>
    <t>2B</t>
  </si>
  <si>
    <t>1B</t>
  </si>
  <si>
    <t>2D</t>
  </si>
  <si>
    <t>1D</t>
  </si>
  <si>
    <t>3C</t>
  </si>
  <si>
    <t>3D</t>
  </si>
  <si>
    <t>3A</t>
  </si>
  <si>
    <t>3B</t>
  </si>
  <si>
    <t>2X</t>
  </si>
  <si>
    <t>3X</t>
  </si>
  <si>
    <t>4X</t>
  </si>
  <si>
    <t>4Y</t>
  </si>
  <si>
    <t>3Y</t>
  </si>
  <si>
    <t>2Y</t>
  </si>
  <si>
    <t>1X</t>
  </si>
  <si>
    <t>1Y</t>
  </si>
  <si>
    <t>3E</t>
  </si>
  <si>
    <t>2E</t>
  </si>
  <si>
    <t>4G</t>
  </si>
  <si>
    <t>3G</t>
  </si>
  <si>
    <t>2f1</t>
  </si>
  <si>
    <t>1f1</t>
  </si>
  <si>
    <t>1f2</t>
  </si>
  <si>
    <t>2f2</t>
  </si>
  <si>
    <t>1E</t>
  </si>
  <si>
    <t>1G</t>
  </si>
  <si>
    <t>2G</t>
  </si>
  <si>
    <t>Coté Gradins au départ</t>
  </si>
  <si>
    <t xml:space="preserve">  Coté vitres au départ</t>
  </si>
  <si>
    <t xml:space="preserve">      Score</t>
  </si>
  <si>
    <t>Jour</t>
  </si>
  <si>
    <t>Poule A</t>
  </si>
  <si>
    <t>Poule B</t>
  </si>
  <si>
    <t>Poule C</t>
  </si>
  <si>
    <t>Poule D</t>
  </si>
  <si>
    <t>Poule Y</t>
  </si>
  <si>
    <t>Poule X</t>
  </si>
  <si>
    <t>Poule E</t>
  </si>
  <si>
    <t>Poule F</t>
  </si>
  <si>
    <t>Match F1</t>
  </si>
  <si>
    <t>Match F2</t>
  </si>
  <si>
    <t>Poule G</t>
  </si>
  <si>
    <t>Match 91</t>
  </si>
  <si>
    <t>Match 92</t>
  </si>
  <si>
    <t>3F</t>
  </si>
  <si>
    <t>Match 51</t>
  </si>
  <si>
    <t>Match 52</t>
  </si>
  <si>
    <t>1F</t>
  </si>
  <si>
    <t>Match 11/12</t>
  </si>
  <si>
    <t>Match 9/10</t>
  </si>
  <si>
    <t>Match 7/8</t>
  </si>
  <si>
    <t>Match 5/6</t>
  </si>
  <si>
    <t>Match 3/4</t>
  </si>
  <si>
    <t>Match 1/2</t>
  </si>
  <si>
    <t>2F</t>
  </si>
  <si>
    <t>2F1</t>
  </si>
  <si>
    <t>2F2</t>
  </si>
  <si>
    <t>1F1</t>
  </si>
  <si>
    <t>1F2</t>
  </si>
  <si>
    <t>Samedi</t>
  </si>
  <si>
    <t>Dimanche</t>
  </si>
  <si>
    <t>Aquatiques</t>
  </si>
  <si>
    <t>POULE A</t>
  </si>
  <si>
    <t>POULE B</t>
  </si>
  <si>
    <t>POULE C</t>
  </si>
  <si>
    <t>POULE D</t>
  </si>
  <si>
    <t>1A; 2A;3A</t>
  </si>
  <si>
    <t>1B;2B;3B</t>
  </si>
  <si>
    <t>1C;2C; 3C</t>
  </si>
  <si>
    <t>1D;2D;3D</t>
  </si>
  <si>
    <t>POULE X</t>
  </si>
  <si>
    <t>POULE Y</t>
  </si>
  <si>
    <t>POULE E</t>
  </si>
  <si>
    <t>POULE F</t>
  </si>
  <si>
    <t>1X; 2X;3X;4X</t>
  </si>
  <si>
    <t>1Y; 2Y;3Y;4Y</t>
  </si>
  <si>
    <t>POULE G</t>
  </si>
  <si>
    <t>1E;2E;3E</t>
  </si>
  <si>
    <t>1F;2F;3F</t>
  </si>
  <si>
    <t>1G; 2G;3G;4G</t>
  </si>
  <si>
    <t>191;291</t>
  </si>
  <si>
    <t>192;292</t>
  </si>
  <si>
    <t>1F1;2F1</t>
  </si>
  <si>
    <t>1F2;2F2</t>
  </si>
  <si>
    <t>151;251</t>
  </si>
  <si>
    <t>152;252</t>
  </si>
  <si>
    <t>Cl.t</t>
  </si>
  <si>
    <t>Buts
Contre</t>
  </si>
  <si>
    <t>Buts
Pour</t>
  </si>
  <si>
    <t>Saison</t>
  </si>
  <si>
    <t>Catégorie</t>
  </si>
  <si>
    <t>Date</t>
  </si>
  <si>
    <t>Lieu</t>
  </si>
  <si>
    <t xml:space="preserve">Durée des matchs </t>
  </si>
  <si>
    <t>Durée des matchs 
X, Y, V et W</t>
  </si>
  <si>
    <t>Saison :</t>
  </si>
  <si>
    <t xml:space="preserve">Lieu : </t>
  </si>
  <si>
    <t>CHAMPIONNAT DE France</t>
  </si>
  <si>
    <t>Date :</t>
  </si>
  <si>
    <t>Catégorie :</t>
  </si>
  <si>
    <t>Durée des matchs</t>
  </si>
  <si>
    <t>2*10' +2' de mi-temps +1' temps mort par  équipe +3' inter-match = 27'</t>
  </si>
  <si>
    <t>Club</t>
  </si>
  <si>
    <t>NOM</t>
  </si>
  <si>
    <t>PRENOM</t>
  </si>
  <si>
    <t>Prénom Nom</t>
  </si>
  <si>
    <t>PRINCIPAL</t>
  </si>
  <si>
    <t>AQUATIQUE</t>
  </si>
  <si>
    <t>CRITERE</t>
  </si>
  <si>
    <t>ARBITRES</t>
  </si>
  <si>
    <t>EMARGEMENT DES ARBITRES</t>
  </si>
  <si>
    <t>Prénom</t>
  </si>
  <si>
    <t>Comité</t>
  </si>
  <si>
    <t xml:space="preserve">Transport </t>
  </si>
  <si>
    <t>Hébergement</t>
  </si>
  <si>
    <t>Signature</t>
  </si>
  <si>
    <t>Fonction</t>
  </si>
  <si>
    <t>Commissaire</t>
  </si>
  <si>
    <t>Responsable Arbitrage et Stage AN2</t>
  </si>
  <si>
    <t>Arbitre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</si>
  <si>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</si>
  <si>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</si>
  <si>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</si>
  <si>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</si>
  <si>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</si>
  <si>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</si>
  <si>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</si>
  <si>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</si>
  <si>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</si>
  <si>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</si>
  <si>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</si>
  <si>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</si>
  <si>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</si>
  <si>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</si>
  <si>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</si>
  <si>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</si>
  <si>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</si>
  <si>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</si>
  <si>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</si>
  <si>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</si>
  <si>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</si>
  <si>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</si>
  <si>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Candidat Arbitre</t>
  </si>
  <si>
    <t>FAIR PLAY</t>
  </si>
  <si>
    <t>MATCH F1*</t>
  </si>
  <si>
    <t>MATCH F2*</t>
  </si>
  <si>
    <t>MATCH 51*</t>
  </si>
  <si>
    <t>MATCH 52*</t>
  </si>
  <si>
    <t>MATCH 92*</t>
  </si>
  <si>
    <t>MATCH 91*</t>
  </si>
  <si>
    <t>*  pour les machs F1, F2, 51, 52, 91 et 92 lorsque les équipes se sont déjà rencontrées il y a inversion.</t>
  </si>
  <si>
    <t>en jeunes et juniors</t>
  </si>
  <si>
    <t>1er</t>
  </si>
  <si>
    <t>3ème</t>
  </si>
  <si>
    <t>2éme</t>
  </si>
  <si>
    <t>4ème</t>
  </si>
  <si>
    <t>8ème</t>
  </si>
  <si>
    <t>7ème</t>
  </si>
  <si>
    <t>6ème</t>
  </si>
  <si>
    <t>5ème</t>
  </si>
  <si>
    <t>11ème</t>
  </si>
  <si>
    <t>12ème</t>
  </si>
  <si>
    <t>9ème</t>
  </si>
  <si>
    <t>10ème</t>
  </si>
  <si>
    <t>répartition suivant le classement année N-1</t>
  </si>
  <si>
    <t>Equipe 1</t>
  </si>
  <si>
    <t>Equipe 8</t>
  </si>
  <si>
    <t>Equipe 3</t>
  </si>
  <si>
    <t>Equipe 7</t>
  </si>
  <si>
    <t>Equipe 9</t>
  </si>
  <si>
    <t>Equipe 2</t>
  </si>
  <si>
    <t>Equipe 6</t>
  </si>
  <si>
    <t>Equipe 4</t>
  </si>
  <si>
    <t>Equipe 5</t>
  </si>
  <si>
    <t>Tirage au sort des poules</t>
  </si>
  <si>
    <t>horaire 1er match samedi</t>
  </si>
  <si>
    <t>horaire 1er match dimanche</t>
  </si>
  <si>
    <t>Pt.</t>
  </si>
  <si>
    <t>Matchs arbitrés par les joueurs des équipes engagées (non forfaite) :</t>
  </si>
  <si>
    <t>Non</t>
  </si>
  <si>
    <t>Nombre de matchs de repos pour la pause repas :</t>
  </si>
  <si>
    <t>Nom</t>
  </si>
  <si>
    <t>TRUC1</t>
  </si>
  <si>
    <t>Hervé</t>
  </si>
  <si>
    <t>MUCHE2</t>
  </si>
  <si>
    <t>Vincent</t>
  </si>
  <si>
    <t>BIDULE3</t>
  </si>
  <si>
    <t>Laurent</t>
  </si>
  <si>
    <t>ZOZO4</t>
  </si>
  <si>
    <t>Stephane</t>
  </si>
  <si>
    <t>ZAZA5</t>
  </si>
  <si>
    <t>Guillaume</t>
  </si>
  <si>
    <t>LOLO6</t>
  </si>
  <si>
    <t>Sébastien</t>
  </si>
  <si>
    <t>KIKI7</t>
  </si>
  <si>
    <t>Stéphane</t>
  </si>
  <si>
    <t>FLUTE8</t>
  </si>
  <si>
    <t>DUDU9</t>
  </si>
  <si>
    <t>Fabien</t>
  </si>
  <si>
    <t>REPOS</t>
  </si>
  <si>
    <t>SELECTED</t>
  </si>
  <si>
    <t>REPAS</t>
  </si>
  <si>
    <t>LAST GAME</t>
  </si>
  <si>
    <t>S.KIKI7</t>
  </si>
  <si>
    <t>G.ZAZA5</t>
  </si>
  <si>
    <t>S.LOLO6</t>
  </si>
  <si>
    <t>S.FLUTE8</t>
  </si>
  <si>
    <t>S.ZOZO4</t>
  </si>
  <si>
    <t>H.TRUC1</t>
  </si>
  <si>
    <t>V.MUCHE2</t>
  </si>
  <si>
    <t>L.BIDULE3</t>
  </si>
  <si>
    <t>F.DUDU9</t>
  </si>
  <si>
    <t>$O$14</t>
  </si>
  <si>
    <t>$M$17</t>
  </si>
  <si>
    <t>$O$17</t>
  </si>
  <si>
    <t>$M$18</t>
  </si>
  <si>
    <t>$N$18</t>
  </si>
  <si>
    <t>$O$18</t>
  </si>
  <si>
    <t>$M$20</t>
  </si>
  <si>
    <t>$N$20</t>
  </si>
  <si>
    <t>$O$20</t>
  </si>
  <si>
    <t>Brest</t>
  </si>
  <si>
    <t>Hyères 2</t>
  </si>
  <si>
    <t>Moirans 2</t>
  </si>
  <si>
    <t>Rennes 2</t>
  </si>
  <si>
    <t>Epernay</t>
  </si>
  <si>
    <t>La Rochelle</t>
  </si>
  <si>
    <t>Lyon</t>
  </si>
  <si>
    <t>Saint Brieuc</t>
  </si>
  <si>
    <t>Dinan 2</t>
  </si>
  <si>
    <t>Le Puy 2</t>
  </si>
  <si>
    <t>Marseille HS</t>
  </si>
  <si>
    <t>2018-2019</t>
  </si>
  <si>
    <t>Division 3 Masculine</t>
  </si>
  <si>
    <t>15 et 16 juin 2019</t>
  </si>
  <si>
    <t>Le Chesnay 2</t>
  </si>
  <si>
    <t>le chesnay</t>
  </si>
  <si>
    <t>Le chesnay 2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</si>
</sst>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.00\ &quot;F&quot;;\-#,##0.00\ &quot;F&quot;"/>
    <numFmt numFmtId="166" formatCode="#,##0.00\ &quot;F&quot;;[Red]\-#,##0.00\ &quot;F&quot;"/>
    <numFmt numFmtId="167" formatCode="_-* #,##0\ &quot;F&quot;_-;\-* #,##0\ &quot;F&quot;_-;_-* &quot;-&quot;\ &quot;F&quot;_-;_-@_-"/>
    <numFmt numFmtId="168" formatCode="_-* #,##0\ _F_-;\-* #,##0\ _F_-;_-* &quot;-&quot;\ _F_-;_-@_-"/>
    <numFmt numFmtId="169" formatCode="_-* #,##0.00\ &quot;F&quot;_-;\-* #,##0.00\ &quot;F&quot;_-;_-* &quot;-&quot;??\ &quot;F&quot;_-;_-@_-"/>
    <numFmt numFmtId="170" formatCode="_-* #,##0.00\ _F_-;\-* #,##0.00\ _F_-;_-* &quot;-&quot;??\ _F_-;_-@_-"/>
    <numFmt numFmtId="171" formatCode="h:mm"/>
    <numFmt numFmtId="172" formatCode="h:mm;@"/>
    <numFmt numFmtId="173" formatCode="&quot;Vrai&quot;;&quot;Vrai&quot;;&quot;Faux&quot;"/>
    <numFmt numFmtId="174" formatCode="&quot;Actif&quot;;&quot;Actif&quot;;&quot;Inactif&quot;"/>
    <numFmt numFmtId="175" formatCode="_(* #,##0.00_);_(* \(#,##0.00\);_(* &quot;-&quot;??_);_(@_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000"/>
    <numFmt numFmtId="180" formatCode="[$€-2]\ #,##0.00_);[Red]\([$€-2]\ #,##0.00\)"/>
  </numFmts>
  <fonts count="61">
    <font>
      <sz val="10"/>
      <name val="Arial"/>
      <family val="0"/>
    </font>
    <font>
      <b/>
      <sz val="12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i/>
      <sz val="12"/>
      <name val="Arial"/>
      <family val="2"/>
    </font>
    <font>
      <b/>
      <sz val="16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i/>
      <u val="single"/>
      <sz val="12"/>
      <name val="Arial"/>
      <family val="2"/>
    </font>
    <font>
      <b/>
      <sz val="10"/>
      <color indexed="8"/>
      <name val="Arial"/>
      <family val="2"/>
    </font>
    <font>
      <b/>
      <sz val="12"/>
      <color indexed="18"/>
      <name val="Arial"/>
      <family val="2"/>
    </font>
    <font>
      <b/>
      <i/>
      <sz val="12"/>
      <color indexed="1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sz val="12"/>
      <color indexed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9"/>
      <name val="Arial"/>
      <family val="2"/>
    </font>
    <font>
      <b/>
      <sz val="14"/>
      <color indexed="8"/>
      <name val="Times New Roman"/>
      <family val="1"/>
    </font>
    <font>
      <b/>
      <vertAlign val="superscript"/>
      <sz val="14"/>
      <color indexed="8"/>
      <name val="Times New Roman"/>
      <family val="1"/>
    </font>
    <font>
      <b/>
      <vertAlign val="superscript"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gray0625"/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2"/>
        <bgColor indexed="64"/>
      </patternFill>
    </fill>
    <fill>
      <patternFill patternType="darkGray">
        <bgColor indexed="9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lightGray">
        <fgColor rgb="FFFF0000"/>
        <bgColor theme="0"/>
      </patternFill>
    </fill>
    <fill>
      <patternFill patternType="solid">
        <fgColor indexed="43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 style="double"/>
      <bottom style="double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medium"/>
      <right style="medium"/>
      <top style="thin"/>
      <bottom style="medium"/>
    </border>
    <border>
      <left style="thick"/>
      <right style="thick"/>
      <top style="thick"/>
      <bottom style="thick"/>
    </border>
    <border>
      <left style="thin"/>
      <right style="thin"/>
      <top style="thick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ck"/>
      <right style="thick"/>
      <top style="thick"/>
      <bottom style="thin"/>
    </border>
    <border>
      <left style="thick"/>
      <right style="thick"/>
      <top style="thin"/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0" borderId="2" applyNumberFormat="0" applyFill="0" applyAlignment="0" applyProtection="0"/>
    <xf numFmtId="0" fontId="0" fillId="27" borderId="3" applyNumberFormat="0" applyFont="0" applyAlignment="0" applyProtection="0"/>
    <xf numFmtId="0" fontId="49" fillId="28" borderId="1" applyNumberFormat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50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51" fillId="30" borderId="0" applyNumberFormat="0" applyBorder="0" applyAlignment="0" applyProtection="0"/>
    <xf numFmtId="0" fontId="13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9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53" fillId="26" borderId="4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2" borderId="9" applyNumberFormat="0" applyAlignment="0" applyProtection="0"/>
  </cellStyleXfs>
  <cellXfs count="262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2" fillId="33" borderId="12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vertical="center"/>
    </xf>
    <xf numFmtId="0" fontId="2" fillId="34" borderId="14" xfId="0" applyFont="1" applyFill="1" applyBorder="1" applyAlignment="1">
      <alignment vertical="center"/>
    </xf>
    <xf numFmtId="0" fontId="2" fillId="33" borderId="13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left" vertical="center"/>
    </xf>
    <xf numFmtId="0" fontId="2" fillId="33" borderId="12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3" fillId="1" borderId="15" xfId="0" applyFont="1" applyFill="1" applyBorder="1" applyAlignment="1">
      <alignment horizontal="center" vertical="center"/>
    </xf>
    <xf numFmtId="0" fontId="1" fillId="1" borderId="15" xfId="0" applyFont="1" applyFill="1" applyBorder="1" applyAlignment="1">
      <alignment horizontal="center" vertical="center"/>
    </xf>
    <xf numFmtId="0" fontId="1" fillId="34" borderId="14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 vertical="center"/>
    </xf>
    <xf numFmtId="0" fontId="5" fillId="0" borderId="0" xfId="0" applyFont="1" applyAlignment="1">
      <alignment/>
    </xf>
    <xf numFmtId="0" fontId="1" fillId="0" borderId="0" xfId="0" applyFont="1" applyAlignment="1">
      <alignment horizontal="center"/>
    </xf>
    <xf numFmtId="0" fontId="5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5" fillId="35" borderId="16" xfId="0" applyFont="1" applyFill="1" applyBorder="1" applyAlignment="1" applyProtection="1">
      <alignment/>
      <protection/>
    </xf>
    <xf numFmtId="0" fontId="5" fillId="35" borderId="17" xfId="0" applyFont="1" applyFill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0" fontId="5" fillId="35" borderId="18" xfId="0" applyFont="1" applyFill="1" applyBorder="1" applyAlignment="1" applyProtection="1">
      <alignment/>
      <protection/>
    </xf>
    <xf numFmtId="0" fontId="5" fillId="35" borderId="19" xfId="0" applyFont="1" applyFill="1" applyBorder="1" applyAlignment="1" applyProtection="1">
      <alignment horizontal="center"/>
      <protection/>
    </xf>
    <xf numFmtId="0" fontId="5" fillId="35" borderId="20" xfId="0" applyFont="1" applyFill="1" applyBorder="1" applyAlignment="1" applyProtection="1">
      <alignment horizontal="center"/>
      <protection/>
    </xf>
    <xf numFmtId="0" fontId="5" fillId="35" borderId="21" xfId="0" applyFont="1" applyFill="1" applyBorder="1" applyAlignment="1" applyProtection="1">
      <alignment horizontal="center"/>
      <protection/>
    </xf>
    <xf numFmtId="0" fontId="5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center"/>
      <protection locked="0"/>
    </xf>
    <xf numFmtId="20" fontId="3" fillId="0" borderId="15" xfId="0" applyNumberFormat="1" applyFont="1" applyBorder="1" applyAlignment="1" applyProtection="1">
      <alignment horizontal="center" vertical="center"/>
      <protection locked="0"/>
    </xf>
    <xf numFmtId="0" fontId="5" fillId="35" borderId="20" xfId="0" applyFont="1" applyFill="1" applyBorder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/>
    </xf>
    <xf numFmtId="0" fontId="5" fillId="35" borderId="21" xfId="0" applyFont="1" applyFill="1" applyBorder="1" applyAlignment="1" applyProtection="1">
      <alignment horizontal="center"/>
      <protection/>
    </xf>
    <xf numFmtId="0" fontId="3" fillId="0" borderId="22" xfId="0" applyFont="1" applyBorder="1" applyAlignment="1">
      <alignment horizontal="center" vertical="center"/>
    </xf>
    <xf numFmtId="0" fontId="3" fillId="0" borderId="22" xfId="0" applyFont="1" applyBorder="1" applyAlignment="1">
      <alignment vertical="center"/>
    </xf>
    <xf numFmtId="0" fontId="3" fillId="0" borderId="22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/>
      <protection/>
    </xf>
    <xf numFmtId="20" fontId="11" fillId="0" borderId="15" xfId="0" applyNumberFormat="1" applyFont="1" applyBorder="1" applyAlignment="1" applyProtection="1">
      <alignment horizontal="center" vertical="center"/>
      <protection locked="0"/>
    </xf>
    <xf numFmtId="20" fontId="12" fillId="0" borderId="23" xfId="0" applyNumberFormat="1" applyFont="1" applyBorder="1" applyAlignment="1" applyProtection="1">
      <alignment horizontal="center" vertical="center"/>
      <protection locked="0"/>
    </xf>
    <xf numFmtId="20" fontId="3" fillId="0" borderId="15" xfId="0" applyNumberFormat="1" applyFont="1" applyBorder="1" applyAlignment="1" applyProtection="1">
      <alignment horizontal="center" vertical="center"/>
      <protection/>
    </xf>
    <xf numFmtId="0" fontId="5" fillId="35" borderId="17" xfId="0" applyFont="1" applyFill="1" applyBorder="1" applyAlignment="1" applyProtection="1">
      <alignment horizontal="center"/>
      <protection/>
    </xf>
    <xf numFmtId="0" fontId="5" fillId="35" borderId="24" xfId="0" applyFont="1" applyFill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left" indent="1"/>
      <protection/>
    </xf>
    <xf numFmtId="0" fontId="1" fillId="0" borderId="0" xfId="0" applyFont="1" applyAlignment="1" applyProtection="1">
      <alignment/>
      <protection/>
    </xf>
    <xf numFmtId="0" fontId="10" fillId="0" borderId="0" xfId="0" applyFont="1" applyAlignment="1">
      <alignment horizontal="center" vertical="center" wrapText="1"/>
    </xf>
    <xf numFmtId="0" fontId="14" fillId="35" borderId="25" xfId="54" applyFont="1" applyFill="1" applyBorder="1" applyAlignment="1">
      <alignment horizontal="center" vertical="center"/>
      <protection/>
    </xf>
    <xf numFmtId="0" fontId="15" fillId="0" borderId="0" xfId="54" applyFont="1" applyAlignment="1">
      <alignment horizontal="center" vertical="center"/>
      <protection/>
    </xf>
    <xf numFmtId="0" fontId="15" fillId="35" borderId="26" xfId="54" applyFont="1" applyFill="1" applyBorder="1" applyAlignment="1">
      <alignment horizontal="center" vertical="center"/>
      <protection/>
    </xf>
    <xf numFmtId="0" fontId="15" fillId="35" borderId="20" xfId="54" applyFont="1" applyFill="1" applyBorder="1" applyAlignment="1">
      <alignment horizontal="center" vertical="center"/>
      <protection/>
    </xf>
    <xf numFmtId="0" fontId="15" fillId="35" borderId="27" xfId="54" applyFont="1" applyFill="1" applyBorder="1" applyAlignment="1">
      <alignment horizontal="center" vertical="center"/>
      <protection/>
    </xf>
    <xf numFmtId="0" fontId="16" fillId="35" borderId="15" xfId="54" applyFont="1" applyFill="1" applyBorder="1" applyAlignment="1">
      <alignment horizontal="center" vertical="center"/>
      <protection/>
    </xf>
    <xf numFmtId="0" fontId="14" fillId="36" borderId="25" xfId="54" applyFont="1" applyFill="1" applyBorder="1" applyAlignment="1">
      <alignment horizontal="center" vertical="center"/>
      <protection/>
    </xf>
    <xf numFmtId="0" fontId="15" fillId="36" borderId="26" xfId="54" applyFont="1" applyFill="1" applyBorder="1" applyAlignment="1">
      <alignment horizontal="center" vertical="center"/>
      <protection/>
    </xf>
    <xf numFmtId="0" fontId="15" fillId="36" borderId="20" xfId="54" applyFont="1" applyFill="1" applyBorder="1" applyAlignment="1">
      <alignment horizontal="center" vertical="center"/>
      <protection/>
    </xf>
    <xf numFmtId="0" fontId="15" fillId="36" borderId="28" xfId="54" applyFont="1" applyFill="1" applyBorder="1" applyAlignment="1">
      <alignment horizontal="center" vertical="center"/>
      <protection/>
    </xf>
    <xf numFmtId="0" fontId="15" fillId="36" borderId="27" xfId="54" applyFont="1" applyFill="1" applyBorder="1" applyAlignment="1">
      <alignment horizontal="center" vertical="center"/>
      <protection/>
    </xf>
    <xf numFmtId="0" fontId="14" fillId="37" borderId="25" xfId="54" applyFont="1" applyFill="1" applyBorder="1" applyAlignment="1">
      <alignment horizontal="center" vertical="center"/>
      <protection/>
    </xf>
    <xf numFmtId="0" fontId="16" fillId="36" borderId="15" xfId="54" applyFont="1" applyFill="1" applyBorder="1" applyAlignment="1">
      <alignment horizontal="center" vertical="center"/>
      <protection/>
    </xf>
    <xf numFmtId="0" fontId="15" fillId="37" borderId="26" xfId="54" applyFont="1" applyFill="1" applyBorder="1" applyAlignment="1">
      <alignment horizontal="center" vertical="center"/>
      <protection/>
    </xf>
    <xf numFmtId="0" fontId="15" fillId="37" borderId="28" xfId="54" applyFont="1" applyFill="1" applyBorder="1" applyAlignment="1">
      <alignment horizontal="center" vertical="center"/>
      <protection/>
    </xf>
    <xf numFmtId="0" fontId="15" fillId="37" borderId="27" xfId="54" applyFont="1" applyFill="1" applyBorder="1" applyAlignment="1">
      <alignment horizontal="center" vertical="center"/>
      <protection/>
    </xf>
    <xf numFmtId="0" fontId="16" fillId="37" borderId="15" xfId="54" applyFont="1" applyFill="1" applyBorder="1" applyAlignment="1">
      <alignment horizontal="center" vertical="center"/>
      <protection/>
    </xf>
    <xf numFmtId="0" fontId="14" fillId="38" borderId="25" xfId="54" applyFont="1" applyFill="1" applyBorder="1" applyAlignment="1">
      <alignment horizontal="center" vertical="center"/>
      <protection/>
    </xf>
    <xf numFmtId="0" fontId="15" fillId="38" borderId="26" xfId="54" applyFont="1" applyFill="1" applyBorder="1" applyAlignment="1">
      <alignment horizontal="center" vertical="center"/>
      <protection/>
    </xf>
    <xf numFmtId="0" fontId="15" fillId="38" borderId="27" xfId="54" applyFont="1" applyFill="1" applyBorder="1" applyAlignment="1">
      <alignment horizontal="center" vertical="center"/>
      <protection/>
    </xf>
    <xf numFmtId="0" fontId="16" fillId="38" borderId="15" xfId="54" applyFont="1" applyFill="1" applyBorder="1" applyAlignment="1">
      <alignment horizontal="center" vertical="center"/>
      <protection/>
    </xf>
    <xf numFmtId="0" fontId="14" fillId="39" borderId="29" xfId="54" applyFont="1" applyFill="1" applyBorder="1" applyAlignment="1">
      <alignment horizontal="center" vertical="center"/>
      <protection/>
    </xf>
    <xf numFmtId="0" fontId="14" fillId="39" borderId="30" xfId="54" applyFont="1" applyFill="1" applyBorder="1" applyAlignment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 wrapText="1"/>
      <protection/>
    </xf>
    <xf numFmtId="0" fontId="0" fillId="0" borderId="0" xfId="55" applyAlignment="1">
      <alignment horizontal="left" wrapText="1"/>
      <protection/>
    </xf>
    <xf numFmtId="0" fontId="0" fillId="0" borderId="0" xfId="55" applyAlignment="1">
      <alignment wrapText="1"/>
      <protection/>
    </xf>
    <xf numFmtId="0" fontId="0" fillId="0" borderId="0" xfId="55">
      <alignment/>
      <protection/>
    </xf>
    <xf numFmtId="0" fontId="1" fillId="0" borderId="20" xfId="55" applyFont="1" applyBorder="1" applyAlignment="1">
      <alignment horizontal="left" wrapText="1"/>
      <protection/>
    </xf>
    <xf numFmtId="0" fontId="1" fillId="0" borderId="20" xfId="55" applyFont="1" applyBorder="1" applyAlignment="1">
      <alignment wrapText="1"/>
      <protection/>
    </xf>
    <xf numFmtId="0" fontId="1" fillId="0" borderId="0" xfId="55" applyFont="1" applyAlignment="1">
      <alignment horizontal="left" wrapText="1"/>
      <protection/>
    </xf>
    <xf numFmtId="0" fontId="1" fillId="0" borderId="0" xfId="55" applyFont="1" applyAlignment="1">
      <alignment wrapText="1"/>
      <protection/>
    </xf>
    <xf numFmtId="0" fontId="1" fillId="0" borderId="0" xfId="55" applyFont="1" applyAlignment="1">
      <alignment horizontal="left"/>
      <protection/>
    </xf>
    <xf numFmtId="0" fontId="1" fillId="0" borderId="0" xfId="55" applyFont="1">
      <alignment/>
      <protection/>
    </xf>
    <xf numFmtId="0" fontId="0" fillId="0" borderId="0" xfId="55" applyAlignment="1">
      <alignment horizontal="left"/>
      <protection/>
    </xf>
    <xf numFmtId="0" fontId="1" fillId="0" borderId="20" xfId="55" applyFont="1" applyBorder="1" applyAlignment="1" applyProtection="1">
      <alignment wrapText="1"/>
      <protection locked="0"/>
    </xf>
    <xf numFmtId="20" fontId="1" fillId="0" borderId="20" xfId="55" applyNumberFormat="1" applyFont="1" applyBorder="1" applyAlignment="1" applyProtection="1">
      <alignment wrapText="1"/>
      <protection locked="0"/>
    </xf>
    <xf numFmtId="0" fontId="5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 locked="0"/>
    </xf>
    <xf numFmtId="0" fontId="5" fillId="0" borderId="0" xfId="55" applyFont="1" applyProtection="1">
      <alignment/>
      <protection/>
    </xf>
    <xf numFmtId="0" fontId="1" fillId="0" borderId="0" xfId="55" applyFont="1" applyAlignment="1" applyProtection="1">
      <alignment horizontal="center"/>
      <protection/>
    </xf>
    <xf numFmtId="0" fontId="0" fillId="0" borderId="0" xfId="55" applyProtection="1">
      <alignment/>
      <protection/>
    </xf>
    <xf numFmtId="0" fontId="5" fillId="0" borderId="0" xfId="55" applyFont="1" applyAlignment="1" applyProtection="1">
      <alignment vertical="center"/>
      <protection/>
    </xf>
    <xf numFmtId="0" fontId="1" fillId="0" borderId="0" xfId="55" applyFont="1" applyAlignment="1" applyProtection="1">
      <alignment horizontal="center" vertical="center"/>
      <protection/>
    </xf>
    <xf numFmtId="0" fontId="1" fillId="0" borderId="0" xfId="55" applyFont="1" applyAlignment="1" applyProtection="1">
      <alignment vertical="center"/>
      <protection/>
    </xf>
    <xf numFmtId="0" fontId="4" fillId="0" borderId="31" xfId="55" applyFont="1" applyBorder="1" applyAlignment="1" applyProtection="1">
      <alignment vertical="center"/>
      <protection/>
    </xf>
    <xf numFmtId="0" fontId="4" fillId="0" borderId="32" xfId="55" applyFont="1" applyBorder="1" applyAlignment="1" applyProtection="1">
      <alignment vertical="center"/>
      <protection/>
    </xf>
    <xf numFmtId="0" fontId="4" fillId="0" borderId="0" xfId="55" applyFont="1" applyBorder="1" applyAlignment="1" applyProtection="1">
      <alignment horizontal="center" vertical="center"/>
      <protection/>
    </xf>
    <xf numFmtId="0" fontId="0" fillId="0" borderId="32" xfId="55" applyBorder="1" applyAlignment="1" applyProtection="1">
      <alignment/>
      <protection/>
    </xf>
    <xf numFmtId="0" fontId="5" fillId="0" borderId="0" xfId="55" applyFont="1" applyProtection="1">
      <alignment/>
      <protection locked="0"/>
    </xf>
    <xf numFmtId="0" fontId="1" fillId="0" borderId="0" xfId="55" applyFont="1" applyAlignment="1" applyProtection="1">
      <alignment horizontal="center"/>
      <protection locked="0"/>
    </xf>
    <xf numFmtId="0" fontId="5" fillId="0" borderId="0" xfId="55" applyFont="1">
      <alignment/>
      <protection/>
    </xf>
    <xf numFmtId="0" fontId="1" fillId="0" borderId="0" xfId="55" applyFont="1" applyAlignment="1">
      <alignment horizontal="center"/>
      <protection/>
    </xf>
    <xf numFmtId="0" fontId="5" fillId="0" borderId="0" xfId="0" applyFont="1" applyBorder="1" applyAlignment="1" applyProtection="1">
      <alignment horizontal="center" vertical="center"/>
      <protection locked="0"/>
    </xf>
    <xf numFmtId="20" fontId="11" fillId="0" borderId="0" xfId="0" applyNumberFormat="1" applyFont="1" applyBorder="1" applyAlignment="1" applyProtection="1">
      <alignment horizontal="center" vertical="center"/>
      <protection locked="0"/>
    </xf>
    <xf numFmtId="20" fontId="3" fillId="0" borderId="0" xfId="0" applyNumberFormat="1" applyFont="1" applyBorder="1" applyAlignment="1" applyProtection="1">
      <alignment horizontal="center" vertical="center"/>
      <protection/>
    </xf>
    <xf numFmtId="0" fontId="5" fillId="40" borderId="19" xfId="0" applyFont="1" applyFill="1" applyBorder="1" applyAlignment="1" applyProtection="1">
      <alignment horizontal="center"/>
      <protection/>
    </xf>
    <xf numFmtId="49" fontId="0" fillId="0" borderId="20" xfId="55" applyNumberFormat="1" applyFont="1" applyFill="1" applyBorder="1" applyAlignment="1">
      <alignment horizontal="center"/>
      <protection/>
    </xf>
    <xf numFmtId="0" fontId="0" fillId="0" borderId="20" xfId="55" applyFont="1" applyBorder="1" applyAlignment="1">
      <alignment horizontal="center"/>
      <protection/>
    </xf>
    <xf numFmtId="0" fontId="0" fillId="0" borderId="0" xfId="55" applyAlignment="1">
      <alignment horizontal="center"/>
      <protection/>
    </xf>
    <xf numFmtId="0" fontId="0" fillId="0" borderId="20" xfId="55" applyBorder="1" applyAlignment="1">
      <alignment horizontal="center"/>
      <protection/>
    </xf>
    <xf numFmtId="0" fontId="19" fillId="1" borderId="15" xfId="0" applyFont="1" applyFill="1" applyBorder="1" applyAlignment="1">
      <alignment horizontal="center" vertical="center"/>
    </xf>
    <xf numFmtId="0" fontId="4" fillId="0" borderId="20" xfId="55" applyFont="1" applyBorder="1" applyAlignment="1" applyProtection="1">
      <alignment vertical="center"/>
      <protection/>
    </xf>
    <xf numFmtId="0" fontId="3" fillId="41" borderId="20" xfId="0" applyFont="1" applyFill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0" xfId="0" applyBorder="1" applyAlignment="1">
      <alignment vertical="center" wrapText="1"/>
    </xf>
    <xf numFmtId="0" fontId="21" fillId="0" borderId="20" xfId="0" applyFont="1" applyBorder="1" applyAlignment="1">
      <alignment vertical="center"/>
    </xf>
    <xf numFmtId="0" fontId="0" fillId="0" borderId="20" xfId="55" applyBorder="1" applyProtection="1">
      <alignment/>
      <protection locked="0"/>
    </xf>
    <xf numFmtId="0" fontId="5" fillId="0" borderId="0" xfId="0" applyFont="1" applyAlignment="1">
      <alignment vertical="center"/>
    </xf>
    <xf numFmtId="0" fontId="5" fillId="35" borderId="19" xfId="0" applyFont="1" applyFill="1" applyBorder="1" applyAlignment="1" applyProtection="1">
      <alignment horizontal="center" vertical="center"/>
      <protection/>
    </xf>
    <xf numFmtId="0" fontId="5" fillId="40" borderId="19" xfId="0" applyFont="1" applyFill="1" applyBorder="1" applyAlignment="1" applyProtection="1">
      <alignment horizontal="center" vertical="center"/>
      <protection/>
    </xf>
    <xf numFmtId="0" fontId="5" fillId="35" borderId="20" xfId="0" applyFont="1" applyFill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vertical="center"/>
      <protection/>
    </xf>
    <xf numFmtId="0" fontId="8" fillId="0" borderId="0" xfId="56" applyFont="1" applyFill="1" applyBorder="1" applyAlignment="1" applyProtection="1">
      <alignment horizontal="left" vertical="center" wrapText="1"/>
      <protection locked="0"/>
    </xf>
    <xf numFmtId="0" fontId="9" fillId="0" borderId="0" xfId="0" applyFont="1" applyAlignment="1" applyProtection="1">
      <alignment horizontal="right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2" fillId="0" borderId="0" xfId="0" applyFont="1" applyAlignment="1" applyProtection="1">
      <alignment horizontal="center" vertical="center"/>
      <protection/>
    </xf>
    <xf numFmtId="0" fontId="5" fillId="35" borderId="18" xfId="0" applyFont="1" applyFill="1" applyBorder="1" applyAlignment="1" applyProtection="1">
      <alignment/>
      <protection/>
    </xf>
    <xf numFmtId="0" fontId="3" fillId="0" borderId="15" xfId="0" applyFont="1" applyFill="1" applyBorder="1" applyAlignment="1">
      <alignment horizontal="center" vertical="center"/>
    </xf>
    <xf numFmtId="0" fontId="0" fillId="0" borderId="14" xfId="0" applyFill="1" applyBorder="1" applyAlignment="1">
      <alignment vertical="center"/>
    </xf>
    <xf numFmtId="0" fontId="3" fillId="0" borderId="15" xfId="0" applyFont="1" applyFill="1" applyBorder="1" applyAlignment="1" applyProtection="1" quotePrefix="1">
      <alignment horizontal="center" vertical="center"/>
      <protection locked="0"/>
    </xf>
    <xf numFmtId="0" fontId="3" fillId="0" borderId="15" xfId="0" applyFont="1" applyFill="1" applyBorder="1" applyAlignment="1" applyProtection="1">
      <alignment horizontal="center" vertical="center"/>
      <protection locked="0"/>
    </xf>
    <xf numFmtId="0" fontId="3" fillId="0" borderId="22" xfId="0" applyFont="1" applyFill="1" applyBorder="1" applyAlignment="1">
      <alignment vertical="center"/>
    </xf>
    <xf numFmtId="0" fontId="3" fillId="0" borderId="22" xfId="0" applyFont="1" applyFill="1" applyBorder="1" applyAlignment="1" applyProtection="1">
      <alignment horizontal="center" vertical="center"/>
      <protection locked="0"/>
    </xf>
    <xf numFmtId="0" fontId="3" fillId="0" borderId="22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>
      <alignment horizontal="center" vertical="center"/>
    </xf>
    <xf numFmtId="0" fontId="11" fillId="0" borderId="15" xfId="0" applyFont="1" applyFill="1" applyBorder="1" applyAlignment="1" applyProtection="1">
      <alignment horizontal="center" vertical="center"/>
      <protection locked="0"/>
    </xf>
    <xf numFmtId="0" fontId="11" fillId="42" borderId="15" xfId="0" applyFont="1" applyFill="1" applyBorder="1" applyAlignment="1" applyProtection="1">
      <alignment horizontal="center" vertical="center"/>
      <protection locked="0"/>
    </xf>
    <xf numFmtId="0" fontId="11" fillId="42" borderId="15" xfId="0" applyNumberFormat="1" applyFont="1" applyFill="1" applyBorder="1" applyAlignment="1" applyProtection="1">
      <alignment horizontal="center" vertical="center"/>
      <protection locked="0"/>
    </xf>
    <xf numFmtId="0" fontId="11" fillId="0" borderId="15" xfId="0" applyNumberFormat="1" applyFont="1" applyFill="1" applyBorder="1" applyAlignment="1" applyProtection="1">
      <alignment horizontal="center" vertical="center"/>
      <protection locked="0"/>
    </xf>
    <xf numFmtId="0" fontId="11" fillId="0" borderId="15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0" xfId="0" applyFont="1" applyFill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Fill="1" applyAlignment="1" applyProtection="1">
      <alignment vertical="center"/>
      <protection locked="0"/>
    </xf>
    <xf numFmtId="0" fontId="23" fillId="0" borderId="0" xfId="0" applyFont="1" applyAlignment="1" applyProtection="1">
      <alignment vertical="center"/>
      <protection locked="0"/>
    </xf>
    <xf numFmtId="0" fontId="0" fillId="0" borderId="0" xfId="0" applyFont="1" applyAlignment="1">
      <alignment vertical="center"/>
    </xf>
    <xf numFmtId="1" fontId="3" fillId="0" borderId="15" xfId="0" applyNumberFormat="1" applyFont="1" applyFill="1" applyBorder="1" applyAlignment="1">
      <alignment horizontal="center" vertical="center"/>
    </xf>
    <xf numFmtId="0" fontId="5" fillId="43" borderId="0" xfId="55" applyFont="1" applyFill="1">
      <alignment/>
      <protection/>
    </xf>
    <xf numFmtId="0" fontId="0" fillId="44" borderId="0" xfId="55" applyFill="1">
      <alignment/>
      <protection/>
    </xf>
    <xf numFmtId="0" fontId="0" fillId="0" borderId="20" xfId="55" applyBorder="1" applyAlignment="1">
      <alignment horizontal="left"/>
      <protection/>
    </xf>
    <xf numFmtId="20" fontId="1" fillId="0" borderId="20" xfId="55" applyNumberFormat="1" applyFont="1" applyBorder="1" applyAlignment="1">
      <alignment wrapText="1"/>
      <protection/>
    </xf>
    <xf numFmtId="0" fontId="5" fillId="40" borderId="20" xfId="0" applyFont="1" applyFill="1" applyBorder="1" applyAlignment="1" applyProtection="1">
      <alignment horizontal="center" vertical="center"/>
      <protection/>
    </xf>
    <xf numFmtId="0" fontId="5" fillId="35" borderId="20" xfId="0" applyFont="1" applyFill="1" applyBorder="1" applyAlignment="1" applyProtection="1">
      <alignment horizontal="center" vertical="center"/>
      <protection/>
    </xf>
    <xf numFmtId="0" fontId="5" fillId="0" borderId="20" xfId="0" applyFont="1" applyBorder="1" applyAlignment="1" applyProtection="1">
      <alignment horizontal="center" vertical="center"/>
      <protection locked="0"/>
    </xf>
    <xf numFmtId="0" fontId="5" fillId="35" borderId="19" xfId="0" applyFont="1" applyFill="1" applyBorder="1" applyAlignment="1" applyProtection="1">
      <alignment horizontal="center" vertical="center"/>
      <protection/>
    </xf>
    <xf numFmtId="0" fontId="5" fillId="0" borderId="19" xfId="0" applyFont="1" applyBorder="1" applyAlignment="1" applyProtection="1">
      <alignment horizontal="center" vertical="center"/>
      <protection locked="0"/>
    </xf>
    <xf numFmtId="0" fontId="5" fillId="40" borderId="21" xfId="0" applyFont="1" applyFill="1" applyBorder="1" applyAlignment="1" applyProtection="1">
      <alignment horizontal="center" vertical="center"/>
      <protection/>
    </xf>
    <xf numFmtId="0" fontId="5" fillId="35" borderId="21" xfId="0" applyFont="1" applyFill="1" applyBorder="1" applyAlignment="1" applyProtection="1">
      <alignment horizontal="center" vertical="center"/>
      <protection/>
    </xf>
    <xf numFmtId="0" fontId="5" fillId="35" borderId="21" xfId="0" applyFont="1" applyFill="1" applyBorder="1" applyAlignment="1" applyProtection="1">
      <alignment horizontal="center" vertical="center"/>
      <protection/>
    </xf>
    <xf numFmtId="0" fontId="5" fillId="0" borderId="21" xfId="0" applyFont="1" applyBorder="1" applyAlignment="1" applyProtection="1">
      <alignment horizontal="center" vertical="center"/>
      <protection locked="0"/>
    </xf>
    <xf numFmtId="0" fontId="5" fillId="40" borderId="20" xfId="0" applyFont="1" applyFill="1" applyBorder="1" applyAlignment="1" applyProtection="1">
      <alignment horizontal="center"/>
      <protection/>
    </xf>
    <xf numFmtId="0" fontId="5" fillId="0" borderId="20" xfId="0" applyFont="1" applyBorder="1" applyAlignment="1" applyProtection="1">
      <alignment horizontal="center"/>
      <protection locked="0"/>
    </xf>
    <xf numFmtId="0" fontId="5" fillId="0" borderId="19" xfId="0" applyFont="1" applyBorder="1" applyAlignment="1" applyProtection="1">
      <alignment horizontal="center"/>
      <protection locked="0"/>
    </xf>
    <xf numFmtId="0" fontId="5" fillId="40" borderId="21" xfId="0" applyFont="1" applyFill="1" applyBorder="1" applyAlignment="1" applyProtection="1">
      <alignment horizontal="center"/>
      <protection/>
    </xf>
    <xf numFmtId="0" fontId="5" fillId="0" borderId="21" xfId="0" applyFont="1" applyBorder="1" applyAlignment="1" applyProtection="1">
      <alignment horizontal="center"/>
      <protection locked="0"/>
    </xf>
    <xf numFmtId="0" fontId="5" fillId="35" borderId="16" xfId="0" applyFont="1" applyFill="1" applyBorder="1" applyAlignment="1" applyProtection="1">
      <alignment horizontal="center" vertical="center"/>
      <protection/>
    </xf>
    <xf numFmtId="0" fontId="5" fillId="35" borderId="33" xfId="0" applyFont="1" applyFill="1" applyBorder="1" applyAlignment="1" applyProtection="1">
      <alignment horizontal="center" vertical="center"/>
      <protection/>
    </xf>
    <xf numFmtId="0" fontId="5" fillId="35" borderId="18" xfId="0" applyFont="1" applyFill="1" applyBorder="1" applyAlignment="1" applyProtection="1">
      <alignment horizontal="center" vertical="center"/>
      <protection/>
    </xf>
    <xf numFmtId="0" fontId="5" fillId="35" borderId="16" xfId="0" applyFont="1" applyFill="1" applyBorder="1" applyAlignment="1" applyProtection="1">
      <alignment horizontal="center"/>
      <protection/>
    </xf>
    <xf numFmtId="0" fontId="5" fillId="35" borderId="19" xfId="0" applyFont="1" applyFill="1" applyBorder="1" applyAlignment="1" applyProtection="1">
      <alignment horizontal="center"/>
      <protection/>
    </xf>
    <xf numFmtId="0" fontId="5" fillId="45" borderId="19" xfId="0" applyFont="1" applyFill="1" applyBorder="1" applyAlignment="1" applyProtection="1">
      <alignment horizontal="center" vertical="center"/>
      <protection/>
    </xf>
    <xf numFmtId="0" fontId="5" fillId="45" borderId="34" xfId="0" applyFont="1" applyFill="1" applyBorder="1" applyAlignment="1" applyProtection="1">
      <alignment horizontal="center" vertical="center"/>
      <protection/>
    </xf>
    <xf numFmtId="0" fontId="5" fillId="35" borderId="33" xfId="0" applyFont="1" applyFill="1" applyBorder="1" applyAlignment="1" applyProtection="1">
      <alignment horizontal="center"/>
      <protection/>
    </xf>
    <xf numFmtId="0" fontId="5" fillId="45" borderId="20" xfId="0" applyFont="1" applyFill="1" applyBorder="1" applyAlignment="1" applyProtection="1">
      <alignment horizontal="center" vertical="center"/>
      <protection/>
    </xf>
    <xf numFmtId="0" fontId="5" fillId="45" borderId="35" xfId="0" applyFont="1" applyFill="1" applyBorder="1" applyAlignment="1" applyProtection="1">
      <alignment horizontal="center" vertical="center"/>
      <protection/>
    </xf>
    <xf numFmtId="0" fontId="5" fillId="35" borderId="18" xfId="0" applyFont="1" applyFill="1" applyBorder="1" applyAlignment="1" applyProtection="1">
      <alignment horizontal="center"/>
      <protection/>
    </xf>
    <xf numFmtId="0" fontId="5" fillId="45" borderId="21" xfId="0" applyFont="1" applyFill="1" applyBorder="1" applyAlignment="1" applyProtection="1">
      <alignment horizontal="center" vertical="center"/>
      <protection/>
    </xf>
    <xf numFmtId="0" fontId="5" fillId="45" borderId="36" xfId="0" applyFont="1" applyFill="1" applyBorder="1" applyAlignment="1" applyProtection="1">
      <alignment horizontal="center" vertical="center"/>
      <protection/>
    </xf>
    <xf numFmtId="0" fontId="5" fillId="35" borderId="34" xfId="0" applyFont="1" applyFill="1" applyBorder="1" applyAlignment="1" applyProtection="1">
      <alignment horizontal="center"/>
      <protection/>
    </xf>
    <xf numFmtId="0" fontId="5" fillId="35" borderId="36" xfId="0" applyFont="1" applyFill="1" applyBorder="1" applyAlignment="1" applyProtection="1">
      <alignment horizontal="center"/>
      <protection/>
    </xf>
    <xf numFmtId="0" fontId="18" fillId="0" borderId="0" xfId="56" applyFont="1" applyFill="1" applyBorder="1" applyAlignment="1" applyProtection="1">
      <alignment horizontal="center" vertical="center" wrapText="1"/>
      <protection locked="0"/>
    </xf>
    <xf numFmtId="0" fontId="9" fillId="35" borderId="19" xfId="0" applyFont="1" applyFill="1" applyBorder="1" applyAlignment="1" applyProtection="1">
      <alignment horizontal="center"/>
      <protection/>
    </xf>
    <xf numFmtId="0" fontId="9" fillId="40" borderId="19" xfId="0" applyFont="1" applyFill="1" applyBorder="1" applyAlignment="1" applyProtection="1">
      <alignment horizontal="center"/>
      <protection/>
    </xf>
    <xf numFmtId="0" fontId="9" fillId="35" borderId="20" xfId="0" applyFont="1" applyFill="1" applyBorder="1" applyAlignment="1" applyProtection="1">
      <alignment horizontal="center"/>
      <protection/>
    </xf>
    <xf numFmtId="0" fontId="9" fillId="40" borderId="20" xfId="0" applyFont="1" applyFill="1" applyBorder="1" applyAlignment="1" applyProtection="1">
      <alignment horizontal="center"/>
      <protection/>
    </xf>
    <xf numFmtId="0" fontId="9" fillId="40" borderId="21" xfId="0" applyFont="1" applyFill="1" applyBorder="1" applyAlignment="1" applyProtection="1">
      <alignment horizontal="center"/>
      <protection/>
    </xf>
    <xf numFmtId="0" fontId="9" fillId="35" borderId="21" xfId="0" applyFont="1" applyFill="1" applyBorder="1" applyAlignment="1" applyProtection="1">
      <alignment horizontal="center"/>
      <protection/>
    </xf>
    <xf numFmtId="0" fontId="5" fillId="35" borderId="37" xfId="0" applyFont="1" applyFill="1" applyBorder="1" applyAlignment="1" applyProtection="1">
      <alignment horizontal="center" vertical="center" shrinkToFit="1"/>
      <protection/>
    </xf>
    <xf numFmtId="0" fontId="5" fillId="35" borderId="38" xfId="0" applyFont="1" applyFill="1" applyBorder="1" applyAlignment="1" applyProtection="1">
      <alignment horizontal="center" vertical="center" shrinkToFit="1"/>
      <protection/>
    </xf>
    <xf numFmtId="0" fontId="5" fillId="35" borderId="19" xfId="0" applyFont="1" applyFill="1" applyBorder="1" applyAlignment="1" applyProtection="1">
      <alignment horizontal="center" vertical="center" shrinkToFit="1"/>
      <protection/>
    </xf>
    <xf numFmtId="0" fontId="5" fillId="0" borderId="0" xfId="0" applyFont="1" applyAlignment="1" applyProtection="1">
      <alignment horizontal="center" vertical="center" shrinkToFit="1"/>
      <protection/>
    </xf>
    <xf numFmtId="0" fontId="3" fillId="0" borderId="15" xfId="0" applyNumberFormat="1" applyFont="1" applyFill="1" applyBorder="1" applyAlignment="1">
      <alignment horizontal="center" vertical="center"/>
    </xf>
    <xf numFmtId="0" fontId="24" fillId="0" borderId="19" xfId="56" applyFont="1" applyFill="1" applyBorder="1" applyAlignment="1" applyProtection="1">
      <alignment horizontal="center" vertical="center" wrapText="1"/>
      <protection locked="0"/>
    </xf>
    <xf numFmtId="0" fontId="24" fillId="0" borderId="20" xfId="56" applyFont="1" applyFill="1" applyBorder="1" applyAlignment="1" applyProtection="1">
      <alignment horizontal="center" vertical="center" wrapText="1"/>
      <protection locked="0"/>
    </xf>
    <xf numFmtId="0" fontId="24" fillId="0" borderId="21" xfId="56" applyFont="1" applyFill="1" applyBorder="1" applyAlignment="1" applyProtection="1">
      <alignment horizontal="center" vertical="center" wrapText="1"/>
      <protection locked="0"/>
    </xf>
    <xf numFmtId="0" fontId="1" fillId="46" borderId="34" xfId="55" applyFont="1" applyFill="1" applyBorder="1" applyAlignment="1">
      <alignment horizontal="center" vertical="center"/>
      <protection/>
    </xf>
    <xf numFmtId="0" fontId="5" fillId="46" borderId="35" xfId="55" applyFont="1" applyFill="1" applyBorder="1" applyAlignment="1">
      <alignment horizontal="center" vertical="center"/>
      <protection/>
    </xf>
    <xf numFmtId="0" fontId="5" fillId="46" borderId="36" xfId="55" applyFont="1" applyFill="1" applyBorder="1" applyAlignment="1">
      <alignment horizontal="center" vertical="center"/>
      <protection/>
    </xf>
    <xf numFmtId="0" fontId="1" fillId="46" borderId="16" xfId="55" applyFont="1" applyFill="1" applyBorder="1" applyAlignment="1" applyProtection="1">
      <alignment horizontal="center" vertical="center" shrinkToFit="1"/>
      <protection/>
    </xf>
    <xf numFmtId="0" fontId="5" fillId="46" borderId="39" xfId="55" applyFont="1" applyFill="1" applyBorder="1" applyAlignment="1" applyProtection="1">
      <alignment horizontal="center" vertical="center" shrinkToFit="1"/>
      <protection/>
    </xf>
    <xf numFmtId="0" fontId="5" fillId="46" borderId="40" xfId="55" applyFont="1" applyFill="1" applyBorder="1" applyAlignment="1" applyProtection="1">
      <alignment horizontal="center" vertical="center" shrinkToFit="1"/>
      <protection/>
    </xf>
    <xf numFmtId="0" fontId="4" fillId="0" borderId="20" xfId="55" applyFont="1" applyBorder="1" applyAlignment="1">
      <alignment/>
      <protection/>
    </xf>
    <xf numFmtId="0" fontId="1" fillId="0" borderId="20" xfId="55" applyFont="1" applyBorder="1" applyAlignment="1">
      <alignment horizontal="center"/>
      <protection/>
    </xf>
    <xf numFmtId="0" fontId="1" fillId="0" borderId="20" xfId="55" applyFont="1" applyBorder="1" applyAlignment="1">
      <alignment horizontal="center" vertical="center" wrapText="1"/>
      <protection/>
    </xf>
    <xf numFmtId="0" fontId="5" fillId="0" borderId="20" xfId="55" applyFont="1" applyBorder="1">
      <alignment/>
      <protection/>
    </xf>
    <xf numFmtId="49" fontId="0" fillId="0" borderId="20" xfId="55" applyNumberFormat="1" applyFont="1" applyFill="1" applyBorder="1" applyAlignment="1">
      <alignment horizontal="center" shrinkToFit="1"/>
      <protection/>
    </xf>
    <xf numFmtId="0" fontId="0" fillId="0" borderId="20" xfId="55" applyBorder="1">
      <alignment/>
      <protection/>
    </xf>
    <xf numFmtId="0" fontId="0" fillId="0" borderId="0" xfId="55" applyAlignment="1">
      <alignment shrinkToFit="1"/>
      <protection/>
    </xf>
    <xf numFmtId="0" fontId="11" fillId="42" borderId="23" xfId="0" applyNumberFormat="1" applyFont="1" applyFill="1" applyBorder="1" applyAlignment="1" applyProtection="1">
      <alignment horizontal="center" vertical="center"/>
      <protection locked="0"/>
    </xf>
    <xf numFmtId="0" fontId="11" fillId="42" borderId="23" xfId="0" applyFont="1" applyFill="1" applyBorder="1" applyAlignment="1" applyProtection="1">
      <alignment horizontal="center" vertical="center"/>
      <protection locked="0"/>
    </xf>
    <xf numFmtId="0" fontId="5" fillId="35" borderId="36" xfId="0" applyFont="1" applyFill="1" applyBorder="1" applyAlignment="1" applyProtection="1">
      <alignment horizontal="center" vertical="center" shrinkToFit="1"/>
      <protection/>
    </xf>
    <xf numFmtId="0" fontId="5" fillId="35" borderId="38" xfId="0" applyFont="1" applyFill="1" applyBorder="1" applyAlignment="1" applyProtection="1">
      <alignment horizontal="center" vertical="center" shrinkToFit="1"/>
      <protection/>
    </xf>
    <xf numFmtId="0" fontId="5" fillId="35" borderId="37" xfId="0" applyFont="1" applyFill="1" applyBorder="1" applyAlignment="1" applyProtection="1">
      <alignment horizontal="center" vertical="center" shrinkToFit="1"/>
      <protection/>
    </xf>
    <xf numFmtId="0" fontId="5" fillId="35" borderId="21" xfId="0" applyFont="1" applyFill="1" applyBorder="1" applyAlignment="1" applyProtection="1">
      <alignment horizontal="center" vertical="center" shrinkToFit="1"/>
      <protection/>
    </xf>
    <xf numFmtId="0" fontId="1" fillId="0" borderId="0" xfId="55" applyFont="1" applyAlignment="1">
      <alignment horizontal="center" wrapText="1"/>
      <protection/>
    </xf>
    <xf numFmtId="0" fontId="1" fillId="0" borderId="31" xfId="55" applyFont="1" applyBorder="1" applyAlignment="1">
      <alignment horizontal="center"/>
      <protection/>
    </xf>
    <xf numFmtId="0" fontId="1" fillId="0" borderId="41" xfId="55" applyFont="1" applyBorder="1" applyAlignment="1">
      <alignment horizontal="center"/>
      <protection/>
    </xf>
    <xf numFmtId="0" fontId="1" fillId="0" borderId="32" xfId="55" applyFont="1" applyBorder="1" applyAlignment="1">
      <alignment horizontal="center"/>
      <protection/>
    </xf>
    <xf numFmtId="0" fontId="15" fillId="0" borderId="0" xfId="54" applyFont="1" applyAlignment="1">
      <alignment horizontal="left" vertical="center"/>
      <protection/>
    </xf>
    <xf numFmtId="0" fontId="19" fillId="1" borderId="12" xfId="0" applyFont="1" applyFill="1" applyBorder="1" applyAlignment="1">
      <alignment horizontal="center" vertical="center"/>
    </xf>
    <xf numFmtId="0" fontId="1" fillId="1" borderId="13" xfId="0" applyFont="1" applyFill="1" applyBorder="1" applyAlignment="1">
      <alignment horizontal="center" vertical="center"/>
    </xf>
    <xf numFmtId="0" fontId="20" fillId="33" borderId="12" xfId="0" applyFont="1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7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/>
    </xf>
    <xf numFmtId="0" fontId="1" fillId="0" borderId="43" xfId="0" applyFont="1" applyBorder="1" applyAlignment="1" applyProtection="1">
      <alignment horizontal="center" vertical="center"/>
      <protection/>
    </xf>
    <xf numFmtId="0" fontId="4" fillId="0" borderId="2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31" xfId="0" applyFont="1" applyBorder="1" applyAlignment="1" applyProtection="1">
      <alignment horizontal="center" vertical="center"/>
      <protection/>
    </xf>
    <xf numFmtId="0" fontId="4" fillId="0" borderId="41" xfId="0" applyFont="1" applyBorder="1" applyAlignment="1" applyProtection="1">
      <alignment horizontal="center" vertical="center"/>
      <protection/>
    </xf>
    <xf numFmtId="0" fontId="4" fillId="0" borderId="32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 horizontal="center" vertical="center" wrapText="1"/>
      <protection/>
    </xf>
    <xf numFmtId="0" fontId="5" fillId="45" borderId="19" xfId="0" applyFont="1" applyFill="1" applyBorder="1" applyAlignment="1" applyProtection="1">
      <alignment horizontal="center" vertical="center"/>
      <protection/>
    </xf>
    <xf numFmtId="0" fontId="5" fillId="45" borderId="34" xfId="0" applyFont="1" applyFill="1" applyBorder="1" applyAlignment="1" applyProtection="1">
      <alignment horizontal="center" vertical="center"/>
      <protection/>
    </xf>
    <xf numFmtId="0" fontId="5" fillId="45" borderId="21" xfId="0" applyFont="1" applyFill="1" applyBorder="1" applyAlignment="1" applyProtection="1">
      <alignment horizontal="center" vertical="center"/>
      <protection/>
    </xf>
    <xf numFmtId="0" fontId="5" fillId="45" borderId="36" xfId="0" applyFont="1" applyFill="1" applyBorder="1" applyAlignment="1" applyProtection="1">
      <alignment horizontal="center" vertical="center"/>
      <protection/>
    </xf>
    <xf numFmtId="0" fontId="5" fillId="35" borderId="38" xfId="0" applyFont="1" applyFill="1" applyBorder="1" applyAlignment="1" applyProtection="1">
      <alignment horizontal="center" vertical="center" shrinkToFit="1"/>
      <protection/>
    </xf>
    <xf numFmtId="0" fontId="5" fillId="35" borderId="44" xfId="0" applyFont="1" applyFill="1" applyBorder="1" applyAlignment="1" applyProtection="1">
      <alignment horizontal="center" vertical="center" shrinkToFit="1"/>
      <protection/>
    </xf>
    <xf numFmtId="0" fontId="5" fillId="35" borderId="45" xfId="0" applyFont="1" applyFill="1" applyBorder="1" applyAlignment="1" applyProtection="1">
      <alignment horizontal="center" vertical="center" shrinkToFit="1"/>
      <protection/>
    </xf>
    <xf numFmtId="0" fontId="5" fillId="45" borderId="20" xfId="0" applyFont="1" applyFill="1" applyBorder="1" applyAlignment="1" applyProtection="1">
      <alignment horizontal="center" vertical="center"/>
      <protection/>
    </xf>
    <xf numFmtId="0" fontId="5" fillId="45" borderId="35" xfId="0" applyFont="1" applyFill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0" fontId="5" fillId="35" borderId="37" xfId="0" applyFont="1" applyFill="1" applyBorder="1" applyAlignment="1" applyProtection="1">
      <alignment horizontal="center" vertical="center" shrinkToFit="1"/>
      <protection/>
    </xf>
    <xf numFmtId="0" fontId="5" fillId="35" borderId="46" xfId="0" applyFont="1" applyFill="1" applyBorder="1" applyAlignment="1" applyProtection="1">
      <alignment horizontal="center" vertical="center" shrinkToFit="1"/>
      <protection/>
    </xf>
    <xf numFmtId="0" fontId="5" fillId="35" borderId="47" xfId="0" applyFont="1" applyFill="1" applyBorder="1" applyAlignment="1" applyProtection="1">
      <alignment horizontal="center" vertical="center" shrinkToFit="1"/>
      <protection/>
    </xf>
    <xf numFmtId="0" fontId="5" fillId="35" borderId="19" xfId="0" applyFont="1" applyFill="1" applyBorder="1" applyAlignment="1" applyProtection="1">
      <alignment horizontal="center" vertical="center" shrinkToFit="1"/>
      <protection/>
    </xf>
    <xf numFmtId="0" fontId="5" fillId="35" borderId="38" xfId="0" applyFont="1" applyFill="1" applyBorder="1" applyAlignment="1" applyProtection="1">
      <alignment horizontal="center" vertical="center" shrinkToFit="1"/>
      <protection/>
    </xf>
    <xf numFmtId="0" fontId="5" fillId="35" borderId="21" xfId="0" applyFont="1" applyFill="1" applyBorder="1" applyAlignment="1" applyProtection="1">
      <alignment horizontal="center" vertical="center" shrinkToFit="1"/>
      <protection/>
    </xf>
    <xf numFmtId="0" fontId="5" fillId="35" borderId="21" xfId="0" applyFont="1" applyFill="1" applyBorder="1" applyAlignment="1" applyProtection="1">
      <alignment horizontal="center" vertical="center" shrinkToFit="1"/>
      <protection/>
    </xf>
    <xf numFmtId="0" fontId="4" fillId="0" borderId="31" xfId="55" applyFont="1" applyBorder="1" applyAlignment="1" applyProtection="1">
      <alignment horizontal="center" vertical="center"/>
      <protection/>
    </xf>
    <xf numFmtId="0" fontId="4" fillId="0" borderId="32" xfId="55" applyFont="1" applyBorder="1" applyAlignment="1" applyProtection="1">
      <alignment horizontal="center" vertical="center"/>
      <protection/>
    </xf>
    <xf numFmtId="0" fontId="5" fillId="46" borderId="48" xfId="55" applyFont="1" applyFill="1" applyBorder="1" applyAlignment="1">
      <alignment horizontal="center" vertical="center"/>
      <protection/>
    </xf>
  </cellXfs>
  <cellStyles count="54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Euro 2" xfId="45"/>
    <cellStyle name="Insatisfaisant" xfId="46"/>
    <cellStyle name="Hyperlink" xfId="47"/>
    <cellStyle name="Followed Hyperlink" xfId="48"/>
    <cellStyle name="Comma" xfId="49"/>
    <cellStyle name="Comma [0]" xfId="50"/>
    <cellStyle name="Currency" xfId="51"/>
    <cellStyle name="Currency [0]" xfId="52"/>
    <cellStyle name="Neutre" xfId="53"/>
    <cellStyle name="Normal 2" xfId="54"/>
    <cellStyle name="Normal 2 2" xfId="55"/>
    <cellStyle name="Normal_Terrain 1" xfId="56"/>
    <cellStyle name="Percent" xfId="57"/>
    <cellStyle name="Satisfaisant" xfId="58"/>
    <cellStyle name="Sortie" xfId="59"/>
    <cellStyle name="Texte explicatif" xfId="60"/>
    <cellStyle name="Titre" xfId="61"/>
    <cellStyle name="Titre 1" xfId="62"/>
    <cellStyle name="Titre 2" xfId="63"/>
    <cellStyle name="Titre 3" xfId="64"/>
    <cellStyle name="Titre 4" xfId="65"/>
    <cellStyle name="Total" xfId="66"/>
    <cellStyle name="Vérification" xfId="67"/>
  </cellStyles>
  <dxfs count="20">
    <dxf>
      <font>
        <name val="Cambria"/>
        <color theme="3" tint="0.7999799847602844"/>
      </font>
    </dxf>
    <dxf>
      <font>
        <name val="Cambria"/>
        <color theme="3" tint="0.7999799847602844"/>
      </font>
    </dxf>
    <dxf>
      <font>
        <name val="Cambria"/>
        <color theme="3" tint="0.7999799847602844"/>
      </font>
    </dxf>
    <dxf>
      <font>
        <color theme="2"/>
      </font>
    </dxf>
    <dxf>
      <font>
        <name val="Cambria"/>
        <color theme="3" tint="0.7999799847602844"/>
      </font>
    </dxf>
    <dxf>
      <font>
        <name val="Cambria"/>
        <color theme="3" tint="0.7999799847602844"/>
      </font>
    </dxf>
    <dxf>
      <font>
        <name val="Cambria"/>
        <color theme="3" tint="0.7999799847602844"/>
      </font>
    </dxf>
    <dxf>
      <font>
        <color theme="2"/>
      </font>
    </dxf>
    <dxf>
      <font>
        <name val="Cambria"/>
        <color theme="3" tint="0.7999799847602844"/>
      </font>
    </dxf>
    <dxf>
      <font>
        <name val="Cambria"/>
        <color theme="3" tint="0.7999799847602844"/>
      </font>
    </dxf>
    <dxf>
      <font>
        <name val="Cambria"/>
        <color theme="3" tint="0.7999799847602844"/>
      </font>
    </dxf>
    <dxf>
      <font>
        <name val="Cambria"/>
        <color theme="3" tint="0.7999799847602844"/>
      </font>
    </dxf>
    <dxf>
      <font>
        <color theme="2"/>
      </font>
    </dxf>
    <dxf>
      <font>
        <name val="Cambria"/>
        <color theme="3" tint="0.7999799847602844"/>
      </font>
    </dxf>
    <dxf>
      <font>
        <name val="Cambria"/>
        <color theme="3" tint="0.7999799847602844"/>
      </font>
    </dxf>
    <dxf>
      <font>
        <name val="Cambria"/>
        <color theme="3" tint="0.7999799847602844"/>
      </font>
    </dxf>
    <dxf>
      <font>
        <name val="Cambria"/>
        <color theme="3" tint="0.7999799847602844"/>
      </font>
    </dxf>
    <dxf>
      <font>
        <color theme="2"/>
      </font>
    </dxf>
    <dxf>
      <font>
        <name val="Cambria"/>
        <color theme="3" tint="0.7999799847602844"/>
      </font>
    </dxf>
    <dxf>
      <font>
        <color theme="3" tint="0.7999799847602844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4</xdr:row>
      <xdr:rowOff>66675</xdr:rowOff>
    </xdr:from>
    <xdr:to>
      <xdr:col>0</xdr:col>
      <xdr:colOff>647700</xdr:colOff>
      <xdr:row>10</xdr:row>
      <xdr:rowOff>142875</xdr:rowOff>
    </xdr:to>
    <xdr:grpSp>
      <xdr:nvGrpSpPr>
        <xdr:cNvPr id="1" name="Group 16"/>
        <xdr:cNvGrpSpPr>
          <a:grpSpLocks/>
        </xdr:cNvGrpSpPr>
      </xdr:nvGrpSpPr>
      <xdr:grpSpPr>
        <a:xfrm>
          <a:off x="285750" y="1228725"/>
          <a:ext cx="361950" cy="1543050"/>
          <a:chOff x="102" y="151"/>
          <a:chExt cx="38" cy="162"/>
        </a:xfrm>
        <a:solidFill>
          <a:srgbClr val="FFFFFF"/>
        </a:solidFill>
      </xdr:grpSpPr>
      <xdr:sp>
        <xdr:nvSpPr>
          <xdr:cNvPr id="2" name="Freeform 3"/>
          <xdr:cNvSpPr>
            <a:spLocks/>
          </xdr:cNvSpPr>
        </xdr:nvSpPr>
        <xdr:spPr>
          <a:xfrm>
            <a:off x="124" y="151"/>
            <a:ext cx="15" cy="131"/>
          </a:xfrm>
          <a:custGeom>
            <a:pathLst>
              <a:path h="131" w="15">
                <a:moveTo>
                  <a:pt x="13" y="0"/>
                </a:moveTo>
                <a:lnTo>
                  <a:pt x="0" y="0"/>
                </a:lnTo>
                <a:lnTo>
                  <a:pt x="0" y="131"/>
                </a:lnTo>
                <a:lnTo>
                  <a:pt x="15" y="131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Freeform 4"/>
          <xdr:cNvSpPr>
            <a:spLocks/>
          </xdr:cNvSpPr>
        </xdr:nvSpPr>
        <xdr:spPr>
          <a:xfrm>
            <a:off x="102" y="163"/>
            <a:ext cx="38" cy="150"/>
          </a:xfrm>
          <a:custGeom>
            <a:pathLst>
              <a:path h="131" w="15">
                <a:moveTo>
                  <a:pt x="13" y="0"/>
                </a:moveTo>
                <a:lnTo>
                  <a:pt x="0" y="0"/>
                </a:lnTo>
                <a:lnTo>
                  <a:pt x="0" y="131"/>
                </a:lnTo>
                <a:lnTo>
                  <a:pt x="15" y="131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9525</xdr:colOff>
      <xdr:row>4</xdr:row>
      <xdr:rowOff>66675</xdr:rowOff>
    </xdr:from>
    <xdr:to>
      <xdr:col>2</xdr:col>
      <xdr:colOff>885825</xdr:colOff>
      <xdr:row>11</xdr:row>
      <xdr:rowOff>142875</xdr:rowOff>
    </xdr:to>
    <xdr:sp>
      <xdr:nvSpPr>
        <xdr:cNvPr id="4" name="Freeform 5"/>
        <xdr:cNvSpPr>
          <a:spLocks/>
        </xdr:cNvSpPr>
      </xdr:nvSpPr>
      <xdr:spPr>
        <a:xfrm>
          <a:off x="1666875" y="1228725"/>
          <a:ext cx="876300" cy="1857375"/>
        </a:xfrm>
        <a:custGeom>
          <a:pathLst>
            <a:path h="195" w="37">
              <a:moveTo>
                <a:pt x="37" y="0"/>
              </a:moveTo>
              <a:lnTo>
                <a:pt x="19" y="0"/>
              </a:lnTo>
              <a:lnTo>
                <a:pt x="19" y="195"/>
              </a:lnTo>
              <a:lnTo>
                <a:pt x="0" y="195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4</xdr:row>
      <xdr:rowOff>171450</xdr:rowOff>
    </xdr:from>
    <xdr:to>
      <xdr:col>2</xdr:col>
      <xdr:colOff>952500</xdr:colOff>
      <xdr:row>12</xdr:row>
      <xdr:rowOff>171450</xdr:rowOff>
    </xdr:to>
    <xdr:sp>
      <xdr:nvSpPr>
        <xdr:cNvPr id="5" name="Freeform 7"/>
        <xdr:cNvSpPr>
          <a:spLocks/>
        </xdr:cNvSpPr>
      </xdr:nvSpPr>
      <xdr:spPr>
        <a:xfrm>
          <a:off x="1685925" y="1333500"/>
          <a:ext cx="923925" cy="2095500"/>
        </a:xfrm>
        <a:custGeom>
          <a:pathLst>
            <a:path h="220" w="39">
              <a:moveTo>
                <a:pt x="39" y="0"/>
              </a:moveTo>
              <a:lnTo>
                <a:pt x="26" y="0"/>
              </a:lnTo>
              <a:lnTo>
                <a:pt x="26" y="219"/>
              </a:lnTo>
              <a:lnTo>
                <a:pt x="0" y="22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752475</xdr:colOff>
      <xdr:row>4</xdr:row>
      <xdr:rowOff>95250</xdr:rowOff>
    </xdr:from>
    <xdr:to>
      <xdr:col>5</xdr:col>
      <xdr:colOff>0</xdr:colOff>
      <xdr:row>10</xdr:row>
      <xdr:rowOff>171450</xdr:rowOff>
    </xdr:to>
    <xdr:grpSp>
      <xdr:nvGrpSpPr>
        <xdr:cNvPr id="6" name="Group 18"/>
        <xdr:cNvGrpSpPr>
          <a:grpSpLocks/>
        </xdr:cNvGrpSpPr>
      </xdr:nvGrpSpPr>
      <xdr:grpSpPr>
        <a:xfrm>
          <a:off x="4391025" y="1257300"/>
          <a:ext cx="238125" cy="1543050"/>
          <a:chOff x="442" y="152"/>
          <a:chExt cx="38" cy="162"/>
        </a:xfrm>
        <a:solidFill>
          <a:srgbClr val="FFFFFF"/>
        </a:solidFill>
      </xdr:grpSpPr>
      <xdr:sp>
        <xdr:nvSpPr>
          <xdr:cNvPr id="7" name="Freeform 12"/>
          <xdr:cNvSpPr>
            <a:spLocks/>
          </xdr:cNvSpPr>
        </xdr:nvSpPr>
        <xdr:spPr>
          <a:xfrm>
            <a:off x="464" y="152"/>
            <a:ext cx="15" cy="131"/>
          </a:xfrm>
          <a:custGeom>
            <a:pathLst>
              <a:path h="131" w="15">
                <a:moveTo>
                  <a:pt x="13" y="0"/>
                </a:moveTo>
                <a:lnTo>
                  <a:pt x="0" y="0"/>
                </a:lnTo>
                <a:lnTo>
                  <a:pt x="0" y="131"/>
                </a:lnTo>
                <a:lnTo>
                  <a:pt x="15" y="131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Freeform 13"/>
          <xdr:cNvSpPr>
            <a:spLocks/>
          </xdr:cNvSpPr>
        </xdr:nvSpPr>
        <xdr:spPr>
          <a:xfrm>
            <a:off x="442" y="164"/>
            <a:ext cx="38" cy="150"/>
          </a:xfrm>
          <a:custGeom>
            <a:pathLst>
              <a:path h="131" w="15">
                <a:moveTo>
                  <a:pt x="13" y="0"/>
                </a:moveTo>
                <a:lnTo>
                  <a:pt x="0" y="0"/>
                </a:lnTo>
                <a:lnTo>
                  <a:pt x="0" y="131"/>
                </a:lnTo>
                <a:lnTo>
                  <a:pt x="15" y="131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38100</xdr:colOff>
      <xdr:row>4</xdr:row>
      <xdr:rowOff>76200</xdr:rowOff>
    </xdr:from>
    <xdr:to>
      <xdr:col>7</xdr:col>
      <xdr:colOff>28575</xdr:colOff>
      <xdr:row>12</xdr:row>
      <xdr:rowOff>180975</xdr:rowOff>
    </xdr:to>
    <xdr:grpSp>
      <xdr:nvGrpSpPr>
        <xdr:cNvPr id="9" name="Group 19"/>
        <xdr:cNvGrpSpPr>
          <a:grpSpLocks/>
        </xdr:cNvGrpSpPr>
      </xdr:nvGrpSpPr>
      <xdr:grpSpPr>
        <a:xfrm>
          <a:off x="5657850" y="1238250"/>
          <a:ext cx="981075" cy="2200275"/>
          <a:chOff x="590" y="152"/>
          <a:chExt cx="40" cy="231"/>
        </a:xfrm>
        <a:solidFill>
          <a:srgbClr val="FFFFFF"/>
        </a:solidFill>
      </xdr:grpSpPr>
      <xdr:sp>
        <xdr:nvSpPr>
          <xdr:cNvPr id="10" name="Freeform 14"/>
          <xdr:cNvSpPr>
            <a:spLocks/>
          </xdr:cNvSpPr>
        </xdr:nvSpPr>
        <xdr:spPr>
          <a:xfrm>
            <a:off x="590" y="152"/>
            <a:ext cx="37" cy="195"/>
          </a:xfrm>
          <a:custGeom>
            <a:pathLst>
              <a:path h="195" w="37">
                <a:moveTo>
                  <a:pt x="37" y="0"/>
                </a:moveTo>
                <a:lnTo>
                  <a:pt x="19" y="0"/>
                </a:lnTo>
                <a:lnTo>
                  <a:pt x="19" y="195"/>
                </a:lnTo>
                <a:lnTo>
                  <a:pt x="0" y="195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Freeform 15"/>
          <xdr:cNvSpPr>
            <a:spLocks/>
          </xdr:cNvSpPr>
        </xdr:nvSpPr>
        <xdr:spPr>
          <a:xfrm>
            <a:off x="591" y="163"/>
            <a:ext cx="39" cy="220"/>
          </a:xfrm>
          <a:custGeom>
            <a:pathLst>
              <a:path h="220" w="39">
                <a:moveTo>
                  <a:pt x="39" y="0"/>
                </a:moveTo>
                <a:lnTo>
                  <a:pt x="26" y="0"/>
                </a:lnTo>
                <a:lnTo>
                  <a:pt x="26" y="219"/>
                </a:lnTo>
                <a:lnTo>
                  <a:pt x="0" y="220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9525</xdr:colOff>
      <xdr:row>4</xdr:row>
      <xdr:rowOff>238125</xdr:rowOff>
    </xdr:from>
    <xdr:to>
      <xdr:col>3</xdr:col>
      <xdr:colOff>0</xdr:colOff>
      <xdr:row>14</xdr:row>
      <xdr:rowOff>171450</xdr:rowOff>
    </xdr:to>
    <xdr:sp>
      <xdr:nvSpPr>
        <xdr:cNvPr id="12" name="Freeform 20"/>
        <xdr:cNvSpPr>
          <a:spLocks/>
        </xdr:cNvSpPr>
      </xdr:nvSpPr>
      <xdr:spPr>
        <a:xfrm>
          <a:off x="1666875" y="1400175"/>
          <a:ext cx="981075" cy="2638425"/>
        </a:xfrm>
        <a:custGeom>
          <a:pathLst>
            <a:path h="277" w="70">
              <a:moveTo>
                <a:pt x="0" y="0"/>
              </a:moveTo>
              <a:lnTo>
                <a:pt x="18" y="0"/>
              </a:lnTo>
              <a:lnTo>
                <a:pt x="19" y="277"/>
              </a:lnTo>
              <a:lnTo>
                <a:pt x="70" y="277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190500</xdr:rowOff>
    </xdr:from>
    <xdr:to>
      <xdr:col>4</xdr:col>
      <xdr:colOff>161925</xdr:colOff>
      <xdr:row>15</xdr:row>
      <xdr:rowOff>161925</xdr:rowOff>
    </xdr:to>
    <xdr:grpSp>
      <xdr:nvGrpSpPr>
        <xdr:cNvPr id="13" name="Group 27"/>
        <xdr:cNvGrpSpPr>
          <a:grpSpLocks/>
        </xdr:cNvGrpSpPr>
      </xdr:nvGrpSpPr>
      <xdr:grpSpPr>
        <a:xfrm>
          <a:off x="3638550" y="1352550"/>
          <a:ext cx="161925" cy="2981325"/>
          <a:chOff x="429" y="164"/>
          <a:chExt cx="17" cy="313"/>
        </a:xfrm>
        <a:solidFill>
          <a:srgbClr val="FFFFFF"/>
        </a:solidFill>
      </xdr:grpSpPr>
      <xdr:sp>
        <xdr:nvSpPr>
          <xdr:cNvPr id="14" name="Line 24"/>
          <xdr:cNvSpPr>
            <a:spLocks/>
          </xdr:cNvSpPr>
        </xdr:nvSpPr>
        <xdr:spPr>
          <a:xfrm>
            <a:off x="433" y="16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Line 25"/>
          <xdr:cNvSpPr>
            <a:spLocks/>
          </xdr:cNvSpPr>
        </xdr:nvSpPr>
        <xdr:spPr>
          <a:xfrm>
            <a:off x="446" y="164"/>
            <a:ext cx="0" cy="31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Line 26"/>
          <xdr:cNvSpPr>
            <a:spLocks/>
          </xdr:cNvSpPr>
        </xdr:nvSpPr>
        <xdr:spPr>
          <a:xfrm flipH="1">
            <a:off x="429" y="477"/>
            <a:ext cx="1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</xdr:col>
      <xdr:colOff>9525</xdr:colOff>
      <xdr:row>4</xdr:row>
      <xdr:rowOff>180975</xdr:rowOff>
    </xdr:from>
    <xdr:to>
      <xdr:col>8</xdr:col>
      <xdr:colOff>171450</xdr:colOff>
      <xdr:row>15</xdr:row>
      <xdr:rowOff>152400</xdr:rowOff>
    </xdr:to>
    <xdr:grpSp>
      <xdr:nvGrpSpPr>
        <xdr:cNvPr id="17" name="Group 28"/>
        <xdr:cNvGrpSpPr>
          <a:grpSpLocks/>
        </xdr:cNvGrpSpPr>
      </xdr:nvGrpSpPr>
      <xdr:grpSpPr>
        <a:xfrm>
          <a:off x="7610475" y="1343025"/>
          <a:ext cx="161925" cy="2981325"/>
          <a:chOff x="429" y="164"/>
          <a:chExt cx="17" cy="313"/>
        </a:xfrm>
        <a:solidFill>
          <a:srgbClr val="FFFFFF"/>
        </a:solidFill>
      </xdr:grpSpPr>
      <xdr:sp>
        <xdr:nvSpPr>
          <xdr:cNvPr id="18" name="Line 29"/>
          <xdr:cNvSpPr>
            <a:spLocks/>
          </xdr:cNvSpPr>
        </xdr:nvSpPr>
        <xdr:spPr>
          <a:xfrm>
            <a:off x="433" y="16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Line 30"/>
          <xdr:cNvSpPr>
            <a:spLocks/>
          </xdr:cNvSpPr>
        </xdr:nvSpPr>
        <xdr:spPr>
          <a:xfrm>
            <a:off x="446" y="164"/>
            <a:ext cx="0" cy="31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Line 31"/>
          <xdr:cNvSpPr>
            <a:spLocks/>
          </xdr:cNvSpPr>
        </xdr:nvSpPr>
        <xdr:spPr>
          <a:xfrm flipH="1">
            <a:off x="429" y="477"/>
            <a:ext cx="1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9525</xdr:colOff>
      <xdr:row>4</xdr:row>
      <xdr:rowOff>219075</xdr:rowOff>
    </xdr:from>
    <xdr:to>
      <xdr:col>7</xdr:col>
      <xdr:colOff>0</xdr:colOff>
      <xdr:row>14</xdr:row>
      <xdr:rowOff>152400</xdr:rowOff>
    </xdr:to>
    <xdr:sp>
      <xdr:nvSpPr>
        <xdr:cNvPr id="21" name="Freeform 32"/>
        <xdr:cNvSpPr>
          <a:spLocks/>
        </xdr:cNvSpPr>
      </xdr:nvSpPr>
      <xdr:spPr>
        <a:xfrm>
          <a:off x="5629275" y="1381125"/>
          <a:ext cx="981075" cy="2638425"/>
        </a:xfrm>
        <a:custGeom>
          <a:pathLst>
            <a:path h="277" w="70">
              <a:moveTo>
                <a:pt x="0" y="0"/>
              </a:moveTo>
              <a:lnTo>
                <a:pt x="18" y="0"/>
              </a:lnTo>
              <a:lnTo>
                <a:pt x="19" y="277"/>
              </a:lnTo>
              <a:lnTo>
                <a:pt x="70" y="277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13</xdr:row>
      <xdr:rowOff>133350</xdr:rowOff>
    </xdr:from>
    <xdr:to>
      <xdr:col>0</xdr:col>
      <xdr:colOff>666750</xdr:colOff>
      <xdr:row>18</xdr:row>
      <xdr:rowOff>152400</xdr:rowOff>
    </xdr:to>
    <xdr:grpSp>
      <xdr:nvGrpSpPr>
        <xdr:cNvPr id="22" name="Group 35"/>
        <xdr:cNvGrpSpPr>
          <a:grpSpLocks/>
        </xdr:cNvGrpSpPr>
      </xdr:nvGrpSpPr>
      <xdr:grpSpPr>
        <a:xfrm>
          <a:off x="314325" y="3695700"/>
          <a:ext cx="352425" cy="1543050"/>
          <a:chOff x="102" y="151"/>
          <a:chExt cx="38" cy="162"/>
        </a:xfrm>
        <a:solidFill>
          <a:srgbClr val="FFFFFF"/>
        </a:solidFill>
      </xdr:grpSpPr>
      <xdr:sp>
        <xdr:nvSpPr>
          <xdr:cNvPr id="23" name="Freeform 36"/>
          <xdr:cNvSpPr>
            <a:spLocks/>
          </xdr:cNvSpPr>
        </xdr:nvSpPr>
        <xdr:spPr>
          <a:xfrm>
            <a:off x="124" y="151"/>
            <a:ext cx="15" cy="131"/>
          </a:xfrm>
          <a:custGeom>
            <a:pathLst>
              <a:path h="131" w="15">
                <a:moveTo>
                  <a:pt x="13" y="0"/>
                </a:moveTo>
                <a:lnTo>
                  <a:pt x="0" y="0"/>
                </a:lnTo>
                <a:lnTo>
                  <a:pt x="0" y="131"/>
                </a:lnTo>
                <a:lnTo>
                  <a:pt x="15" y="131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Freeform 37"/>
          <xdr:cNvSpPr>
            <a:spLocks/>
          </xdr:cNvSpPr>
        </xdr:nvSpPr>
        <xdr:spPr>
          <a:xfrm>
            <a:off x="102" y="163"/>
            <a:ext cx="38" cy="150"/>
          </a:xfrm>
          <a:custGeom>
            <a:pathLst>
              <a:path h="131" w="15">
                <a:moveTo>
                  <a:pt x="13" y="0"/>
                </a:moveTo>
                <a:lnTo>
                  <a:pt x="0" y="0"/>
                </a:lnTo>
                <a:lnTo>
                  <a:pt x="0" y="131"/>
                </a:lnTo>
                <a:lnTo>
                  <a:pt x="15" y="131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657225</xdr:colOff>
      <xdr:row>13</xdr:row>
      <xdr:rowOff>114300</xdr:rowOff>
    </xdr:from>
    <xdr:to>
      <xdr:col>4</xdr:col>
      <xdr:colOff>933450</xdr:colOff>
      <xdr:row>13</xdr:row>
      <xdr:rowOff>114300</xdr:rowOff>
    </xdr:to>
    <xdr:sp>
      <xdr:nvSpPr>
        <xdr:cNvPr id="25" name="Line 39"/>
        <xdr:cNvSpPr>
          <a:spLocks/>
        </xdr:cNvSpPr>
      </xdr:nvSpPr>
      <xdr:spPr>
        <a:xfrm flipH="1">
          <a:off x="4295775" y="36766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647700</xdr:colOff>
      <xdr:row>13</xdr:row>
      <xdr:rowOff>133350</xdr:rowOff>
    </xdr:from>
    <xdr:to>
      <xdr:col>4</xdr:col>
      <xdr:colOff>647700</xdr:colOff>
      <xdr:row>19</xdr:row>
      <xdr:rowOff>142875</xdr:rowOff>
    </xdr:to>
    <xdr:sp>
      <xdr:nvSpPr>
        <xdr:cNvPr id="26" name="Line 40"/>
        <xdr:cNvSpPr>
          <a:spLocks/>
        </xdr:cNvSpPr>
      </xdr:nvSpPr>
      <xdr:spPr>
        <a:xfrm>
          <a:off x="4286250" y="3695700"/>
          <a:ext cx="0" cy="1838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962025</xdr:colOff>
      <xdr:row>19</xdr:row>
      <xdr:rowOff>142875</xdr:rowOff>
    </xdr:from>
    <xdr:to>
      <xdr:col>4</xdr:col>
      <xdr:colOff>647700</xdr:colOff>
      <xdr:row>19</xdr:row>
      <xdr:rowOff>142875</xdr:rowOff>
    </xdr:to>
    <xdr:sp>
      <xdr:nvSpPr>
        <xdr:cNvPr id="27" name="Line 41"/>
        <xdr:cNvSpPr>
          <a:spLocks/>
        </xdr:cNvSpPr>
      </xdr:nvSpPr>
      <xdr:spPr>
        <a:xfrm flipH="1">
          <a:off x="1628775" y="5534025"/>
          <a:ext cx="2657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790575</xdr:colOff>
      <xdr:row>13</xdr:row>
      <xdr:rowOff>228600</xdr:rowOff>
    </xdr:from>
    <xdr:to>
      <xdr:col>5</xdr:col>
      <xdr:colOff>0</xdr:colOff>
      <xdr:row>13</xdr:row>
      <xdr:rowOff>228600</xdr:rowOff>
    </xdr:to>
    <xdr:sp>
      <xdr:nvSpPr>
        <xdr:cNvPr id="28" name="Line 45"/>
        <xdr:cNvSpPr>
          <a:spLocks/>
        </xdr:cNvSpPr>
      </xdr:nvSpPr>
      <xdr:spPr>
        <a:xfrm flipH="1">
          <a:off x="4429125" y="379095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790575</xdr:colOff>
      <xdr:row>13</xdr:row>
      <xdr:rowOff>247650</xdr:rowOff>
    </xdr:from>
    <xdr:to>
      <xdr:col>4</xdr:col>
      <xdr:colOff>790575</xdr:colOff>
      <xdr:row>20</xdr:row>
      <xdr:rowOff>171450</xdr:rowOff>
    </xdr:to>
    <xdr:sp>
      <xdr:nvSpPr>
        <xdr:cNvPr id="29" name="Line 46"/>
        <xdr:cNvSpPr>
          <a:spLocks/>
        </xdr:cNvSpPr>
      </xdr:nvSpPr>
      <xdr:spPr>
        <a:xfrm flipH="1">
          <a:off x="4429125" y="3810000"/>
          <a:ext cx="0" cy="2057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20</xdr:row>
      <xdr:rowOff>161925</xdr:rowOff>
    </xdr:from>
    <xdr:to>
      <xdr:col>4</xdr:col>
      <xdr:colOff>790575</xdr:colOff>
      <xdr:row>20</xdr:row>
      <xdr:rowOff>161925</xdr:rowOff>
    </xdr:to>
    <xdr:sp>
      <xdr:nvSpPr>
        <xdr:cNvPr id="30" name="Line 47"/>
        <xdr:cNvSpPr>
          <a:spLocks/>
        </xdr:cNvSpPr>
      </xdr:nvSpPr>
      <xdr:spPr>
        <a:xfrm flipH="1">
          <a:off x="1676400" y="5857875"/>
          <a:ext cx="2752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142875</xdr:colOff>
      <xdr:row>13</xdr:row>
      <xdr:rowOff>66675</xdr:rowOff>
    </xdr:from>
    <xdr:to>
      <xdr:col>1</xdr:col>
      <xdr:colOff>0</xdr:colOff>
      <xdr:row>13</xdr:row>
      <xdr:rowOff>66675</xdr:rowOff>
    </xdr:to>
    <xdr:sp>
      <xdr:nvSpPr>
        <xdr:cNvPr id="31" name="Line 48"/>
        <xdr:cNvSpPr>
          <a:spLocks/>
        </xdr:cNvSpPr>
      </xdr:nvSpPr>
      <xdr:spPr>
        <a:xfrm flipH="1">
          <a:off x="142875" y="3629025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133350</xdr:colOff>
      <xdr:row>13</xdr:row>
      <xdr:rowOff>66675</xdr:rowOff>
    </xdr:from>
    <xdr:to>
      <xdr:col>0</xdr:col>
      <xdr:colOff>133350</xdr:colOff>
      <xdr:row>24</xdr:row>
      <xdr:rowOff>152400</xdr:rowOff>
    </xdr:to>
    <xdr:sp>
      <xdr:nvSpPr>
        <xdr:cNvPr id="32" name="Line 49"/>
        <xdr:cNvSpPr>
          <a:spLocks/>
        </xdr:cNvSpPr>
      </xdr:nvSpPr>
      <xdr:spPr>
        <a:xfrm>
          <a:off x="133350" y="3629025"/>
          <a:ext cx="0" cy="3438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123825</xdr:colOff>
      <xdr:row>24</xdr:row>
      <xdr:rowOff>171450</xdr:rowOff>
    </xdr:from>
    <xdr:to>
      <xdr:col>0</xdr:col>
      <xdr:colOff>666750</xdr:colOff>
      <xdr:row>24</xdr:row>
      <xdr:rowOff>171450</xdr:rowOff>
    </xdr:to>
    <xdr:sp>
      <xdr:nvSpPr>
        <xdr:cNvPr id="33" name="Line 50"/>
        <xdr:cNvSpPr>
          <a:spLocks/>
        </xdr:cNvSpPr>
      </xdr:nvSpPr>
      <xdr:spPr>
        <a:xfrm>
          <a:off x="123825" y="7086600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466725</xdr:colOff>
      <xdr:row>21</xdr:row>
      <xdr:rowOff>133350</xdr:rowOff>
    </xdr:from>
    <xdr:to>
      <xdr:col>0</xdr:col>
      <xdr:colOff>647700</xdr:colOff>
      <xdr:row>21</xdr:row>
      <xdr:rowOff>133350</xdr:rowOff>
    </xdr:to>
    <xdr:sp>
      <xdr:nvSpPr>
        <xdr:cNvPr id="34" name="Line 51"/>
        <xdr:cNvSpPr>
          <a:spLocks/>
        </xdr:cNvSpPr>
      </xdr:nvSpPr>
      <xdr:spPr>
        <a:xfrm flipH="1">
          <a:off x="466725" y="6134100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476250</xdr:colOff>
      <xdr:row>21</xdr:row>
      <xdr:rowOff>152400</xdr:rowOff>
    </xdr:from>
    <xdr:to>
      <xdr:col>0</xdr:col>
      <xdr:colOff>476250</xdr:colOff>
      <xdr:row>25</xdr:row>
      <xdr:rowOff>104775</xdr:rowOff>
    </xdr:to>
    <xdr:sp>
      <xdr:nvSpPr>
        <xdr:cNvPr id="35" name="Line 52"/>
        <xdr:cNvSpPr>
          <a:spLocks/>
        </xdr:cNvSpPr>
      </xdr:nvSpPr>
      <xdr:spPr>
        <a:xfrm>
          <a:off x="476250" y="6153150"/>
          <a:ext cx="0" cy="1171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457200</xdr:colOff>
      <xdr:row>25</xdr:row>
      <xdr:rowOff>104775</xdr:rowOff>
    </xdr:from>
    <xdr:to>
      <xdr:col>0</xdr:col>
      <xdr:colOff>647700</xdr:colOff>
      <xdr:row>25</xdr:row>
      <xdr:rowOff>104775</xdr:rowOff>
    </xdr:to>
    <xdr:sp>
      <xdr:nvSpPr>
        <xdr:cNvPr id="36" name="Line 53"/>
        <xdr:cNvSpPr>
          <a:spLocks/>
        </xdr:cNvSpPr>
      </xdr:nvSpPr>
      <xdr:spPr>
        <a:xfrm>
          <a:off x="457200" y="732472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21</xdr:row>
      <xdr:rowOff>76200</xdr:rowOff>
    </xdr:from>
    <xdr:to>
      <xdr:col>2</xdr:col>
      <xdr:colOff>304800</xdr:colOff>
      <xdr:row>21</xdr:row>
      <xdr:rowOff>76200</xdr:rowOff>
    </xdr:to>
    <xdr:sp>
      <xdr:nvSpPr>
        <xdr:cNvPr id="37" name="Line 56"/>
        <xdr:cNvSpPr>
          <a:spLocks/>
        </xdr:cNvSpPr>
      </xdr:nvSpPr>
      <xdr:spPr>
        <a:xfrm>
          <a:off x="1666875" y="6076950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304800</xdr:colOff>
      <xdr:row>21</xdr:row>
      <xdr:rowOff>76200</xdr:rowOff>
    </xdr:from>
    <xdr:to>
      <xdr:col>2</xdr:col>
      <xdr:colOff>304800</xdr:colOff>
      <xdr:row>25</xdr:row>
      <xdr:rowOff>152400</xdr:rowOff>
    </xdr:to>
    <xdr:sp>
      <xdr:nvSpPr>
        <xdr:cNvPr id="38" name="Line 57"/>
        <xdr:cNvSpPr>
          <a:spLocks/>
        </xdr:cNvSpPr>
      </xdr:nvSpPr>
      <xdr:spPr>
        <a:xfrm>
          <a:off x="1962150" y="6076950"/>
          <a:ext cx="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304800</xdr:colOff>
      <xdr:row>25</xdr:row>
      <xdr:rowOff>161925</xdr:rowOff>
    </xdr:from>
    <xdr:to>
      <xdr:col>3</xdr:col>
      <xdr:colOff>0</xdr:colOff>
      <xdr:row>25</xdr:row>
      <xdr:rowOff>161925</xdr:rowOff>
    </xdr:to>
    <xdr:sp>
      <xdr:nvSpPr>
        <xdr:cNvPr id="39" name="Line 58"/>
        <xdr:cNvSpPr>
          <a:spLocks/>
        </xdr:cNvSpPr>
      </xdr:nvSpPr>
      <xdr:spPr>
        <a:xfrm>
          <a:off x="1962150" y="7381875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371475</xdr:colOff>
      <xdr:row>13</xdr:row>
      <xdr:rowOff>57150</xdr:rowOff>
    </xdr:from>
    <xdr:to>
      <xdr:col>5</xdr:col>
      <xdr:colOff>0</xdr:colOff>
      <xdr:row>13</xdr:row>
      <xdr:rowOff>57150</xdr:rowOff>
    </xdr:to>
    <xdr:sp>
      <xdr:nvSpPr>
        <xdr:cNvPr id="40" name="Line 59"/>
        <xdr:cNvSpPr>
          <a:spLocks/>
        </xdr:cNvSpPr>
      </xdr:nvSpPr>
      <xdr:spPr>
        <a:xfrm flipH="1">
          <a:off x="4010025" y="3619500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371475</xdr:colOff>
      <xdr:row>13</xdr:row>
      <xdr:rowOff>57150</xdr:rowOff>
    </xdr:from>
    <xdr:to>
      <xdr:col>4</xdr:col>
      <xdr:colOff>371475</xdr:colOff>
      <xdr:row>24</xdr:row>
      <xdr:rowOff>161925</xdr:rowOff>
    </xdr:to>
    <xdr:sp>
      <xdr:nvSpPr>
        <xdr:cNvPr id="41" name="Line 60"/>
        <xdr:cNvSpPr>
          <a:spLocks/>
        </xdr:cNvSpPr>
      </xdr:nvSpPr>
      <xdr:spPr>
        <a:xfrm>
          <a:off x="4010025" y="3619500"/>
          <a:ext cx="0" cy="3457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</xdr:colOff>
      <xdr:row>24</xdr:row>
      <xdr:rowOff>171450</xdr:rowOff>
    </xdr:from>
    <xdr:to>
      <xdr:col>4</xdr:col>
      <xdr:colOff>371475</xdr:colOff>
      <xdr:row>24</xdr:row>
      <xdr:rowOff>171450</xdr:rowOff>
    </xdr:to>
    <xdr:sp>
      <xdr:nvSpPr>
        <xdr:cNvPr id="42" name="Line 61"/>
        <xdr:cNvSpPr>
          <a:spLocks/>
        </xdr:cNvSpPr>
      </xdr:nvSpPr>
      <xdr:spPr>
        <a:xfrm flipH="1">
          <a:off x="3667125" y="70866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21</xdr:row>
      <xdr:rowOff>238125</xdr:rowOff>
    </xdr:from>
    <xdr:to>
      <xdr:col>7</xdr:col>
      <xdr:colOff>0</xdr:colOff>
      <xdr:row>24</xdr:row>
      <xdr:rowOff>152400</xdr:rowOff>
    </xdr:to>
    <xdr:sp>
      <xdr:nvSpPr>
        <xdr:cNvPr id="43" name="Freeform 62"/>
        <xdr:cNvSpPr>
          <a:spLocks/>
        </xdr:cNvSpPr>
      </xdr:nvSpPr>
      <xdr:spPr>
        <a:xfrm>
          <a:off x="1676400" y="6238875"/>
          <a:ext cx="4933950" cy="828675"/>
        </a:xfrm>
        <a:custGeom>
          <a:pathLst>
            <a:path h="87" w="471">
              <a:moveTo>
                <a:pt x="0" y="0"/>
              </a:moveTo>
              <a:lnTo>
                <a:pt x="272" y="2"/>
              </a:lnTo>
              <a:lnTo>
                <a:pt x="272" y="31"/>
              </a:lnTo>
              <a:lnTo>
                <a:pt x="441" y="31"/>
              </a:lnTo>
              <a:lnTo>
                <a:pt x="441" y="87"/>
              </a:lnTo>
              <a:lnTo>
                <a:pt x="471" y="87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21</xdr:row>
      <xdr:rowOff>142875</xdr:rowOff>
    </xdr:from>
    <xdr:to>
      <xdr:col>4</xdr:col>
      <xdr:colOff>990600</xdr:colOff>
      <xdr:row>24</xdr:row>
      <xdr:rowOff>133350</xdr:rowOff>
    </xdr:to>
    <xdr:sp>
      <xdr:nvSpPr>
        <xdr:cNvPr id="44" name="Freeform 63"/>
        <xdr:cNvSpPr>
          <a:spLocks/>
        </xdr:cNvSpPr>
      </xdr:nvSpPr>
      <xdr:spPr>
        <a:xfrm>
          <a:off x="1666875" y="6143625"/>
          <a:ext cx="2962275" cy="904875"/>
        </a:xfrm>
        <a:custGeom>
          <a:pathLst>
            <a:path h="95" w="295">
              <a:moveTo>
                <a:pt x="0" y="0"/>
              </a:moveTo>
              <a:lnTo>
                <a:pt x="254" y="0"/>
              </a:lnTo>
              <a:lnTo>
                <a:pt x="254" y="95"/>
              </a:lnTo>
              <a:lnTo>
                <a:pt x="295" y="95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57150</xdr:rowOff>
    </xdr:from>
    <xdr:to>
      <xdr:col>4</xdr:col>
      <xdr:colOff>990600</xdr:colOff>
      <xdr:row>25</xdr:row>
      <xdr:rowOff>152400</xdr:rowOff>
    </xdr:to>
    <xdr:sp>
      <xdr:nvSpPr>
        <xdr:cNvPr id="45" name="Freeform 64"/>
        <xdr:cNvSpPr>
          <a:spLocks/>
        </xdr:cNvSpPr>
      </xdr:nvSpPr>
      <xdr:spPr>
        <a:xfrm>
          <a:off x="3638550" y="4533900"/>
          <a:ext cx="990600" cy="2838450"/>
        </a:xfrm>
        <a:custGeom>
          <a:pathLst>
            <a:path h="298" w="117">
              <a:moveTo>
                <a:pt x="0" y="0"/>
              </a:moveTo>
              <a:lnTo>
                <a:pt x="60" y="0"/>
              </a:lnTo>
              <a:lnTo>
                <a:pt x="61" y="298"/>
              </a:lnTo>
              <a:lnTo>
                <a:pt x="117" y="298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276225</xdr:colOff>
      <xdr:row>16</xdr:row>
      <xdr:rowOff>47625</xdr:rowOff>
    </xdr:from>
    <xdr:to>
      <xdr:col>7</xdr:col>
      <xdr:colOff>0</xdr:colOff>
      <xdr:row>25</xdr:row>
      <xdr:rowOff>171450</xdr:rowOff>
    </xdr:to>
    <xdr:sp>
      <xdr:nvSpPr>
        <xdr:cNvPr id="46" name="Freeform 65"/>
        <xdr:cNvSpPr>
          <a:spLocks/>
        </xdr:cNvSpPr>
      </xdr:nvSpPr>
      <xdr:spPr>
        <a:xfrm>
          <a:off x="5895975" y="4524375"/>
          <a:ext cx="714375" cy="2867025"/>
        </a:xfrm>
        <a:custGeom>
          <a:pathLst>
            <a:path h="301" w="42">
              <a:moveTo>
                <a:pt x="40" y="0"/>
              </a:moveTo>
              <a:lnTo>
                <a:pt x="0" y="0"/>
              </a:lnTo>
              <a:lnTo>
                <a:pt x="0" y="301"/>
              </a:lnTo>
              <a:lnTo>
                <a:pt x="42" y="301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666750</xdr:colOff>
      <xdr:row>30</xdr:row>
      <xdr:rowOff>295275</xdr:rowOff>
    </xdr:from>
    <xdr:to>
      <xdr:col>1</xdr:col>
      <xdr:colOff>485775</xdr:colOff>
      <xdr:row>32</xdr:row>
      <xdr:rowOff>161925</xdr:rowOff>
    </xdr:to>
    <xdr:sp>
      <xdr:nvSpPr>
        <xdr:cNvPr id="47" name="Text Box 66"/>
        <xdr:cNvSpPr txBox="1">
          <a:spLocks noChangeArrowheads="1"/>
        </xdr:cNvSpPr>
      </xdr:nvSpPr>
      <xdr:spPr>
        <a:xfrm>
          <a:off x="666750" y="9039225"/>
          <a:ext cx="485775" cy="47625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72000" rIns="90000" bIns="4680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</a:t>
          </a:r>
          <a:r>
            <a:rPr lang="en-US" cap="none" sz="1400" b="1" i="0" u="none" baseline="3000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er</a:t>
          </a:r>
        </a:p>
      </xdr:txBody>
    </xdr:sp>
    <xdr:clientData/>
  </xdr:twoCellAnchor>
  <xdr:twoCellAnchor>
    <xdr:from>
      <xdr:col>1</xdr:col>
      <xdr:colOff>485775</xdr:colOff>
      <xdr:row>30</xdr:row>
      <xdr:rowOff>295275</xdr:rowOff>
    </xdr:from>
    <xdr:to>
      <xdr:col>1</xdr:col>
      <xdr:colOff>971550</xdr:colOff>
      <xdr:row>32</xdr:row>
      <xdr:rowOff>161925</xdr:rowOff>
    </xdr:to>
    <xdr:sp>
      <xdr:nvSpPr>
        <xdr:cNvPr id="48" name="Text Box 67"/>
        <xdr:cNvSpPr txBox="1">
          <a:spLocks noChangeArrowheads="1"/>
        </xdr:cNvSpPr>
      </xdr:nvSpPr>
      <xdr:spPr>
        <a:xfrm>
          <a:off x="1152525" y="9039225"/>
          <a:ext cx="485775" cy="47625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72000" rIns="90000" bIns="4680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</a:t>
          </a:r>
          <a:r>
            <a:rPr lang="en-US" cap="none" sz="1100" b="1" i="0" u="none" baseline="3000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ème</a:t>
          </a:r>
        </a:p>
      </xdr:txBody>
    </xdr:sp>
    <xdr:clientData/>
  </xdr:twoCellAnchor>
  <xdr:twoCellAnchor>
    <xdr:from>
      <xdr:col>1</xdr:col>
      <xdr:colOff>161925</xdr:colOff>
      <xdr:row>30</xdr:row>
      <xdr:rowOff>9525</xdr:rowOff>
    </xdr:from>
    <xdr:to>
      <xdr:col>1</xdr:col>
      <xdr:colOff>447675</xdr:colOff>
      <xdr:row>30</xdr:row>
      <xdr:rowOff>285750</xdr:rowOff>
    </xdr:to>
    <xdr:sp>
      <xdr:nvSpPr>
        <xdr:cNvPr id="49" name="Line 69"/>
        <xdr:cNvSpPr>
          <a:spLocks/>
        </xdr:cNvSpPr>
      </xdr:nvSpPr>
      <xdr:spPr>
        <a:xfrm flipH="1">
          <a:off x="828675" y="8753475"/>
          <a:ext cx="28575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30</xdr:row>
      <xdr:rowOff>19050</xdr:rowOff>
    </xdr:from>
    <xdr:to>
      <xdr:col>1</xdr:col>
      <xdr:colOff>733425</xdr:colOff>
      <xdr:row>30</xdr:row>
      <xdr:rowOff>276225</xdr:rowOff>
    </xdr:to>
    <xdr:sp>
      <xdr:nvSpPr>
        <xdr:cNvPr id="50" name="Line 70"/>
        <xdr:cNvSpPr>
          <a:spLocks/>
        </xdr:cNvSpPr>
      </xdr:nvSpPr>
      <xdr:spPr>
        <a:xfrm>
          <a:off x="1285875" y="8763000"/>
          <a:ext cx="11430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31</xdr:row>
      <xdr:rowOff>0</xdr:rowOff>
    </xdr:from>
    <xdr:to>
      <xdr:col>2</xdr:col>
      <xdr:colOff>504825</xdr:colOff>
      <xdr:row>32</xdr:row>
      <xdr:rowOff>171450</xdr:rowOff>
    </xdr:to>
    <xdr:sp>
      <xdr:nvSpPr>
        <xdr:cNvPr id="51" name="Text Box 72"/>
        <xdr:cNvSpPr txBox="1">
          <a:spLocks noChangeArrowheads="1"/>
        </xdr:cNvSpPr>
      </xdr:nvSpPr>
      <xdr:spPr>
        <a:xfrm>
          <a:off x="1666875" y="9048750"/>
          <a:ext cx="495300" cy="47625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72000" rIns="90000" bIns="4680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</a:t>
          </a:r>
          <a:r>
            <a:rPr lang="en-US" cap="none" sz="1400" b="1" i="0" u="none" baseline="3000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ème</a:t>
          </a:r>
        </a:p>
      </xdr:txBody>
    </xdr:sp>
    <xdr:clientData/>
  </xdr:twoCellAnchor>
  <xdr:twoCellAnchor>
    <xdr:from>
      <xdr:col>2</xdr:col>
      <xdr:colOff>504825</xdr:colOff>
      <xdr:row>31</xdr:row>
      <xdr:rowOff>0</xdr:rowOff>
    </xdr:from>
    <xdr:to>
      <xdr:col>3</xdr:col>
      <xdr:colOff>0</xdr:colOff>
      <xdr:row>32</xdr:row>
      <xdr:rowOff>171450</xdr:rowOff>
    </xdr:to>
    <xdr:sp>
      <xdr:nvSpPr>
        <xdr:cNvPr id="52" name="Text Box 73"/>
        <xdr:cNvSpPr txBox="1">
          <a:spLocks noChangeArrowheads="1"/>
        </xdr:cNvSpPr>
      </xdr:nvSpPr>
      <xdr:spPr>
        <a:xfrm>
          <a:off x="2162175" y="9048750"/>
          <a:ext cx="485775" cy="47625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72000" rIns="90000" bIns="4680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</a:t>
          </a:r>
          <a:r>
            <a:rPr lang="en-US" cap="none" sz="1100" b="1" i="0" u="none" baseline="3000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ème</a:t>
          </a:r>
        </a:p>
      </xdr:txBody>
    </xdr:sp>
    <xdr:clientData/>
  </xdr:twoCellAnchor>
  <xdr:twoCellAnchor>
    <xdr:from>
      <xdr:col>2</xdr:col>
      <xdr:colOff>180975</xdr:colOff>
      <xdr:row>30</xdr:row>
      <xdr:rowOff>19050</xdr:rowOff>
    </xdr:from>
    <xdr:to>
      <xdr:col>2</xdr:col>
      <xdr:colOff>466725</xdr:colOff>
      <xdr:row>30</xdr:row>
      <xdr:rowOff>295275</xdr:rowOff>
    </xdr:to>
    <xdr:sp>
      <xdr:nvSpPr>
        <xdr:cNvPr id="53" name="Line 74"/>
        <xdr:cNvSpPr>
          <a:spLocks/>
        </xdr:cNvSpPr>
      </xdr:nvSpPr>
      <xdr:spPr>
        <a:xfrm flipH="1">
          <a:off x="1838325" y="8763000"/>
          <a:ext cx="28575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638175</xdr:colOff>
      <xdr:row>30</xdr:row>
      <xdr:rowOff>28575</xdr:rowOff>
    </xdr:from>
    <xdr:to>
      <xdr:col>2</xdr:col>
      <xdr:colOff>752475</xdr:colOff>
      <xdr:row>30</xdr:row>
      <xdr:rowOff>285750</xdr:rowOff>
    </xdr:to>
    <xdr:sp>
      <xdr:nvSpPr>
        <xdr:cNvPr id="54" name="Line 75"/>
        <xdr:cNvSpPr>
          <a:spLocks/>
        </xdr:cNvSpPr>
      </xdr:nvSpPr>
      <xdr:spPr>
        <a:xfrm>
          <a:off x="2295525" y="8772525"/>
          <a:ext cx="11430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31</xdr:row>
      <xdr:rowOff>0</xdr:rowOff>
    </xdr:from>
    <xdr:to>
      <xdr:col>3</xdr:col>
      <xdr:colOff>504825</xdr:colOff>
      <xdr:row>32</xdr:row>
      <xdr:rowOff>171450</xdr:rowOff>
    </xdr:to>
    <xdr:sp>
      <xdr:nvSpPr>
        <xdr:cNvPr id="55" name="Text Box 77"/>
        <xdr:cNvSpPr txBox="1">
          <a:spLocks noChangeArrowheads="1"/>
        </xdr:cNvSpPr>
      </xdr:nvSpPr>
      <xdr:spPr>
        <a:xfrm>
          <a:off x="2657475" y="9048750"/>
          <a:ext cx="495300" cy="47625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72000" rIns="90000" bIns="4680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5</a:t>
          </a:r>
          <a:r>
            <a:rPr lang="en-US" cap="none" sz="1400" b="1" i="0" u="none" baseline="3000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ème</a:t>
          </a:r>
        </a:p>
      </xdr:txBody>
    </xdr:sp>
    <xdr:clientData/>
  </xdr:twoCellAnchor>
  <xdr:twoCellAnchor>
    <xdr:from>
      <xdr:col>3</xdr:col>
      <xdr:colOff>504825</xdr:colOff>
      <xdr:row>31</xdr:row>
      <xdr:rowOff>0</xdr:rowOff>
    </xdr:from>
    <xdr:to>
      <xdr:col>4</xdr:col>
      <xdr:colOff>0</xdr:colOff>
      <xdr:row>32</xdr:row>
      <xdr:rowOff>171450</xdr:rowOff>
    </xdr:to>
    <xdr:sp>
      <xdr:nvSpPr>
        <xdr:cNvPr id="56" name="Text Box 78"/>
        <xdr:cNvSpPr txBox="1">
          <a:spLocks noChangeArrowheads="1"/>
        </xdr:cNvSpPr>
      </xdr:nvSpPr>
      <xdr:spPr>
        <a:xfrm>
          <a:off x="3152775" y="9048750"/>
          <a:ext cx="485775" cy="47625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72000" rIns="90000" bIns="4680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6</a:t>
          </a:r>
          <a:r>
            <a:rPr lang="en-US" cap="none" sz="1100" b="1" i="0" u="none" baseline="3000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ème</a:t>
          </a:r>
        </a:p>
      </xdr:txBody>
    </xdr:sp>
    <xdr:clientData/>
  </xdr:twoCellAnchor>
  <xdr:twoCellAnchor>
    <xdr:from>
      <xdr:col>3</xdr:col>
      <xdr:colOff>180975</xdr:colOff>
      <xdr:row>30</xdr:row>
      <xdr:rowOff>19050</xdr:rowOff>
    </xdr:from>
    <xdr:to>
      <xdr:col>3</xdr:col>
      <xdr:colOff>466725</xdr:colOff>
      <xdr:row>30</xdr:row>
      <xdr:rowOff>295275</xdr:rowOff>
    </xdr:to>
    <xdr:sp>
      <xdr:nvSpPr>
        <xdr:cNvPr id="57" name="Line 79"/>
        <xdr:cNvSpPr>
          <a:spLocks/>
        </xdr:cNvSpPr>
      </xdr:nvSpPr>
      <xdr:spPr>
        <a:xfrm flipH="1">
          <a:off x="2828925" y="8763000"/>
          <a:ext cx="28575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638175</xdr:colOff>
      <xdr:row>30</xdr:row>
      <xdr:rowOff>28575</xdr:rowOff>
    </xdr:from>
    <xdr:to>
      <xdr:col>3</xdr:col>
      <xdr:colOff>752475</xdr:colOff>
      <xdr:row>30</xdr:row>
      <xdr:rowOff>285750</xdr:rowOff>
    </xdr:to>
    <xdr:sp>
      <xdr:nvSpPr>
        <xdr:cNvPr id="58" name="Line 80"/>
        <xdr:cNvSpPr>
          <a:spLocks/>
        </xdr:cNvSpPr>
      </xdr:nvSpPr>
      <xdr:spPr>
        <a:xfrm>
          <a:off x="3286125" y="8772525"/>
          <a:ext cx="11430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31</xdr:row>
      <xdr:rowOff>0</xdr:rowOff>
    </xdr:from>
    <xdr:to>
      <xdr:col>4</xdr:col>
      <xdr:colOff>504825</xdr:colOff>
      <xdr:row>32</xdr:row>
      <xdr:rowOff>171450</xdr:rowOff>
    </xdr:to>
    <xdr:sp>
      <xdr:nvSpPr>
        <xdr:cNvPr id="59" name="Text Box 82"/>
        <xdr:cNvSpPr txBox="1">
          <a:spLocks noChangeArrowheads="1"/>
        </xdr:cNvSpPr>
      </xdr:nvSpPr>
      <xdr:spPr>
        <a:xfrm>
          <a:off x="3648075" y="9048750"/>
          <a:ext cx="495300" cy="47625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72000" rIns="90000" bIns="4680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7</a:t>
          </a:r>
          <a:r>
            <a:rPr lang="en-US" cap="none" sz="1400" b="1" i="0" u="none" baseline="3000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ème</a:t>
          </a:r>
        </a:p>
      </xdr:txBody>
    </xdr:sp>
    <xdr:clientData/>
  </xdr:twoCellAnchor>
  <xdr:twoCellAnchor>
    <xdr:from>
      <xdr:col>4</xdr:col>
      <xdr:colOff>504825</xdr:colOff>
      <xdr:row>31</xdr:row>
      <xdr:rowOff>0</xdr:rowOff>
    </xdr:from>
    <xdr:to>
      <xdr:col>5</xdr:col>
      <xdr:colOff>0</xdr:colOff>
      <xdr:row>32</xdr:row>
      <xdr:rowOff>171450</xdr:rowOff>
    </xdr:to>
    <xdr:sp>
      <xdr:nvSpPr>
        <xdr:cNvPr id="60" name="Text Box 83"/>
        <xdr:cNvSpPr txBox="1">
          <a:spLocks noChangeArrowheads="1"/>
        </xdr:cNvSpPr>
      </xdr:nvSpPr>
      <xdr:spPr>
        <a:xfrm>
          <a:off x="4143375" y="9048750"/>
          <a:ext cx="485775" cy="47625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72000" rIns="90000" bIns="4680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8</a:t>
          </a:r>
          <a:r>
            <a:rPr lang="en-US" cap="none" sz="1100" b="1" i="0" u="none" baseline="3000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ème</a:t>
          </a:r>
        </a:p>
      </xdr:txBody>
    </xdr:sp>
    <xdr:clientData/>
  </xdr:twoCellAnchor>
  <xdr:twoCellAnchor>
    <xdr:from>
      <xdr:col>4</xdr:col>
      <xdr:colOff>180975</xdr:colOff>
      <xdr:row>30</xdr:row>
      <xdr:rowOff>19050</xdr:rowOff>
    </xdr:from>
    <xdr:to>
      <xdr:col>4</xdr:col>
      <xdr:colOff>466725</xdr:colOff>
      <xdr:row>30</xdr:row>
      <xdr:rowOff>295275</xdr:rowOff>
    </xdr:to>
    <xdr:sp>
      <xdr:nvSpPr>
        <xdr:cNvPr id="61" name="Line 84"/>
        <xdr:cNvSpPr>
          <a:spLocks/>
        </xdr:cNvSpPr>
      </xdr:nvSpPr>
      <xdr:spPr>
        <a:xfrm flipH="1">
          <a:off x="3819525" y="8763000"/>
          <a:ext cx="28575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638175</xdr:colOff>
      <xdr:row>30</xdr:row>
      <xdr:rowOff>28575</xdr:rowOff>
    </xdr:from>
    <xdr:to>
      <xdr:col>4</xdr:col>
      <xdr:colOff>752475</xdr:colOff>
      <xdr:row>30</xdr:row>
      <xdr:rowOff>285750</xdr:rowOff>
    </xdr:to>
    <xdr:sp>
      <xdr:nvSpPr>
        <xdr:cNvPr id="62" name="Line 85"/>
        <xdr:cNvSpPr>
          <a:spLocks/>
        </xdr:cNvSpPr>
      </xdr:nvSpPr>
      <xdr:spPr>
        <a:xfrm>
          <a:off x="4276725" y="8772525"/>
          <a:ext cx="11430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31</xdr:row>
      <xdr:rowOff>0</xdr:rowOff>
    </xdr:from>
    <xdr:to>
      <xdr:col>5</xdr:col>
      <xdr:colOff>495300</xdr:colOff>
      <xdr:row>32</xdr:row>
      <xdr:rowOff>171450</xdr:rowOff>
    </xdr:to>
    <xdr:sp>
      <xdr:nvSpPr>
        <xdr:cNvPr id="63" name="Text Box 92"/>
        <xdr:cNvSpPr txBox="1">
          <a:spLocks noChangeArrowheads="1"/>
        </xdr:cNvSpPr>
      </xdr:nvSpPr>
      <xdr:spPr>
        <a:xfrm>
          <a:off x="4629150" y="9048750"/>
          <a:ext cx="495300" cy="47625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72000" rIns="90000" bIns="4680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9</a:t>
          </a:r>
          <a:r>
            <a:rPr lang="en-US" cap="none" sz="1400" b="1" i="0" u="none" baseline="3000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ème</a:t>
          </a:r>
        </a:p>
      </xdr:txBody>
    </xdr:sp>
    <xdr:clientData/>
  </xdr:twoCellAnchor>
  <xdr:twoCellAnchor>
    <xdr:from>
      <xdr:col>5</xdr:col>
      <xdr:colOff>495300</xdr:colOff>
      <xdr:row>31</xdr:row>
      <xdr:rowOff>0</xdr:rowOff>
    </xdr:from>
    <xdr:to>
      <xdr:col>5</xdr:col>
      <xdr:colOff>981075</xdr:colOff>
      <xdr:row>32</xdr:row>
      <xdr:rowOff>171450</xdr:rowOff>
    </xdr:to>
    <xdr:sp>
      <xdr:nvSpPr>
        <xdr:cNvPr id="64" name="Text Box 93"/>
        <xdr:cNvSpPr txBox="1">
          <a:spLocks noChangeArrowheads="1"/>
        </xdr:cNvSpPr>
      </xdr:nvSpPr>
      <xdr:spPr>
        <a:xfrm>
          <a:off x="5124450" y="9048750"/>
          <a:ext cx="485775" cy="47625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72000" rIns="90000" bIns="4680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10</a:t>
          </a:r>
          <a:r>
            <a:rPr lang="en-US" cap="none" sz="1100" b="1" i="0" u="none" baseline="3000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ème</a:t>
          </a:r>
        </a:p>
      </xdr:txBody>
    </xdr:sp>
    <xdr:clientData/>
  </xdr:twoCellAnchor>
  <xdr:twoCellAnchor>
    <xdr:from>
      <xdr:col>5</xdr:col>
      <xdr:colOff>171450</xdr:colOff>
      <xdr:row>30</xdr:row>
      <xdr:rowOff>19050</xdr:rowOff>
    </xdr:from>
    <xdr:to>
      <xdr:col>5</xdr:col>
      <xdr:colOff>457200</xdr:colOff>
      <xdr:row>30</xdr:row>
      <xdr:rowOff>295275</xdr:rowOff>
    </xdr:to>
    <xdr:sp>
      <xdr:nvSpPr>
        <xdr:cNvPr id="65" name="Line 94"/>
        <xdr:cNvSpPr>
          <a:spLocks/>
        </xdr:cNvSpPr>
      </xdr:nvSpPr>
      <xdr:spPr>
        <a:xfrm flipH="1">
          <a:off x="4800600" y="8763000"/>
          <a:ext cx="28575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628650</xdr:colOff>
      <xdr:row>30</xdr:row>
      <xdr:rowOff>28575</xdr:rowOff>
    </xdr:from>
    <xdr:to>
      <xdr:col>5</xdr:col>
      <xdr:colOff>742950</xdr:colOff>
      <xdr:row>30</xdr:row>
      <xdr:rowOff>285750</xdr:rowOff>
    </xdr:to>
    <xdr:sp>
      <xdr:nvSpPr>
        <xdr:cNvPr id="66" name="Line 95"/>
        <xdr:cNvSpPr>
          <a:spLocks/>
        </xdr:cNvSpPr>
      </xdr:nvSpPr>
      <xdr:spPr>
        <a:xfrm>
          <a:off x="5257800" y="8772525"/>
          <a:ext cx="11430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31</xdr:row>
      <xdr:rowOff>0</xdr:rowOff>
    </xdr:from>
    <xdr:to>
      <xdr:col>6</xdr:col>
      <xdr:colOff>504825</xdr:colOff>
      <xdr:row>32</xdr:row>
      <xdr:rowOff>171450</xdr:rowOff>
    </xdr:to>
    <xdr:sp>
      <xdr:nvSpPr>
        <xdr:cNvPr id="67" name="Text Box 97"/>
        <xdr:cNvSpPr txBox="1">
          <a:spLocks noChangeArrowheads="1"/>
        </xdr:cNvSpPr>
      </xdr:nvSpPr>
      <xdr:spPr>
        <a:xfrm>
          <a:off x="5629275" y="9048750"/>
          <a:ext cx="495300" cy="47625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72000" rIns="90000" bIns="4680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11</a:t>
          </a:r>
          <a:r>
            <a:rPr lang="en-US" cap="none" sz="1100" b="1" i="0" u="none" baseline="3000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ème</a:t>
          </a:r>
        </a:p>
      </xdr:txBody>
    </xdr:sp>
    <xdr:clientData/>
  </xdr:twoCellAnchor>
  <xdr:twoCellAnchor>
    <xdr:from>
      <xdr:col>6</xdr:col>
      <xdr:colOff>504825</xdr:colOff>
      <xdr:row>31</xdr:row>
      <xdr:rowOff>0</xdr:rowOff>
    </xdr:from>
    <xdr:to>
      <xdr:col>7</xdr:col>
      <xdr:colOff>0</xdr:colOff>
      <xdr:row>32</xdr:row>
      <xdr:rowOff>171450</xdr:rowOff>
    </xdr:to>
    <xdr:sp>
      <xdr:nvSpPr>
        <xdr:cNvPr id="68" name="Text Box 98"/>
        <xdr:cNvSpPr txBox="1">
          <a:spLocks noChangeArrowheads="1"/>
        </xdr:cNvSpPr>
      </xdr:nvSpPr>
      <xdr:spPr>
        <a:xfrm>
          <a:off x="6124575" y="9048750"/>
          <a:ext cx="485775" cy="47625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72000" rIns="90000" bIns="4680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12</a:t>
          </a:r>
          <a:r>
            <a:rPr lang="en-US" cap="none" sz="1100" b="1" i="0" u="none" baseline="3000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ème</a:t>
          </a:r>
        </a:p>
      </xdr:txBody>
    </xdr:sp>
    <xdr:clientData/>
  </xdr:twoCellAnchor>
  <xdr:twoCellAnchor>
    <xdr:from>
      <xdr:col>6</xdr:col>
      <xdr:colOff>180975</xdr:colOff>
      <xdr:row>30</xdr:row>
      <xdr:rowOff>19050</xdr:rowOff>
    </xdr:from>
    <xdr:to>
      <xdr:col>6</xdr:col>
      <xdr:colOff>466725</xdr:colOff>
      <xdr:row>30</xdr:row>
      <xdr:rowOff>295275</xdr:rowOff>
    </xdr:to>
    <xdr:sp>
      <xdr:nvSpPr>
        <xdr:cNvPr id="69" name="Line 99"/>
        <xdr:cNvSpPr>
          <a:spLocks/>
        </xdr:cNvSpPr>
      </xdr:nvSpPr>
      <xdr:spPr>
        <a:xfrm flipH="1">
          <a:off x="5800725" y="8763000"/>
          <a:ext cx="28575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638175</xdr:colOff>
      <xdr:row>30</xdr:row>
      <xdr:rowOff>28575</xdr:rowOff>
    </xdr:from>
    <xdr:to>
      <xdr:col>6</xdr:col>
      <xdr:colOff>752475</xdr:colOff>
      <xdr:row>30</xdr:row>
      <xdr:rowOff>285750</xdr:rowOff>
    </xdr:to>
    <xdr:sp>
      <xdr:nvSpPr>
        <xdr:cNvPr id="70" name="Line 100"/>
        <xdr:cNvSpPr>
          <a:spLocks/>
        </xdr:cNvSpPr>
      </xdr:nvSpPr>
      <xdr:spPr>
        <a:xfrm>
          <a:off x="6257925" y="8772525"/>
          <a:ext cx="11430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962025</xdr:colOff>
      <xdr:row>13</xdr:row>
      <xdr:rowOff>171450</xdr:rowOff>
    </xdr:from>
    <xdr:to>
      <xdr:col>4</xdr:col>
      <xdr:colOff>981075</xdr:colOff>
      <xdr:row>13</xdr:row>
      <xdr:rowOff>171450</xdr:rowOff>
    </xdr:to>
    <xdr:sp>
      <xdr:nvSpPr>
        <xdr:cNvPr id="71" name="Connecteur droit avec flèche 4"/>
        <xdr:cNvSpPr>
          <a:spLocks/>
        </xdr:cNvSpPr>
      </xdr:nvSpPr>
      <xdr:spPr>
        <a:xfrm flipH="1" flipV="1">
          <a:off x="3609975" y="3733800"/>
          <a:ext cx="10096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13</xdr:row>
      <xdr:rowOff>171450</xdr:rowOff>
    </xdr:from>
    <xdr:to>
      <xdr:col>2</xdr:col>
      <xdr:colOff>200025</xdr:colOff>
      <xdr:row>13</xdr:row>
      <xdr:rowOff>180975</xdr:rowOff>
    </xdr:to>
    <xdr:sp>
      <xdr:nvSpPr>
        <xdr:cNvPr id="72" name="Connecteur droit 12"/>
        <xdr:cNvSpPr>
          <a:spLocks/>
        </xdr:cNvSpPr>
      </xdr:nvSpPr>
      <xdr:spPr>
        <a:xfrm>
          <a:off x="1676400" y="3733800"/>
          <a:ext cx="1809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209550</xdr:colOff>
      <xdr:row>13</xdr:row>
      <xdr:rowOff>180975</xdr:rowOff>
    </xdr:from>
    <xdr:to>
      <xdr:col>2</xdr:col>
      <xdr:colOff>209550</xdr:colOff>
      <xdr:row>17</xdr:row>
      <xdr:rowOff>200025</xdr:rowOff>
    </xdr:to>
    <xdr:sp>
      <xdr:nvSpPr>
        <xdr:cNvPr id="73" name="Connecteur droit 14"/>
        <xdr:cNvSpPr>
          <a:spLocks/>
        </xdr:cNvSpPr>
      </xdr:nvSpPr>
      <xdr:spPr>
        <a:xfrm>
          <a:off x="1866900" y="3743325"/>
          <a:ext cx="0" cy="1238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209550</xdr:colOff>
      <xdr:row>17</xdr:row>
      <xdr:rowOff>209550</xdr:rowOff>
    </xdr:from>
    <xdr:to>
      <xdr:col>6</xdr:col>
      <xdr:colOff>666750</xdr:colOff>
      <xdr:row>17</xdr:row>
      <xdr:rowOff>209550</xdr:rowOff>
    </xdr:to>
    <xdr:sp>
      <xdr:nvSpPr>
        <xdr:cNvPr id="74" name="Connecteur droit 17"/>
        <xdr:cNvSpPr>
          <a:spLocks/>
        </xdr:cNvSpPr>
      </xdr:nvSpPr>
      <xdr:spPr>
        <a:xfrm>
          <a:off x="1866900" y="4991100"/>
          <a:ext cx="441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666750</xdr:colOff>
      <xdr:row>13</xdr:row>
      <xdr:rowOff>152400</xdr:rowOff>
    </xdr:from>
    <xdr:to>
      <xdr:col>6</xdr:col>
      <xdr:colOff>666750</xdr:colOff>
      <xdr:row>17</xdr:row>
      <xdr:rowOff>209550</xdr:rowOff>
    </xdr:to>
    <xdr:sp>
      <xdr:nvSpPr>
        <xdr:cNvPr id="75" name="Connecteur droit 20"/>
        <xdr:cNvSpPr>
          <a:spLocks/>
        </xdr:cNvSpPr>
      </xdr:nvSpPr>
      <xdr:spPr>
        <a:xfrm flipV="1">
          <a:off x="6286500" y="3714750"/>
          <a:ext cx="0" cy="1276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666750</xdr:colOff>
      <xdr:row>13</xdr:row>
      <xdr:rowOff>152400</xdr:rowOff>
    </xdr:from>
    <xdr:to>
      <xdr:col>7</xdr:col>
      <xdr:colOff>47625</xdr:colOff>
      <xdr:row>13</xdr:row>
      <xdr:rowOff>152400</xdr:rowOff>
    </xdr:to>
    <xdr:sp>
      <xdr:nvSpPr>
        <xdr:cNvPr id="76" name="Connecteur droit avec flèche 22"/>
        <xdr:cNvSpPr>
          <a:spLocks/>
        </xdr:cNvSpPr>
      </xdr:nvSpPr>
      <xdr:spPr>
        <a:xfrm>
          <a:off x="6286500" y="3714750"/>
          <a:ext cx="3714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0</xdr:rowOff>
    </xdr:from>
    <xdr:to>
      <xdr:col>4</xdr:col>
      <xdr:colOff>0</xdr:colOff>
      <xdr:row>2</xdr:row>
      <xdr:rowOff>400050</xdr:rowOff>
    </xdr:to>
    <xdr:pic>
      <xdr:nvPicPr>
        <xdr:cNvPr id="1" name="Image 2" descr="logo-hokeysub-quadri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316230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9525</xdr:colOff>
      <xdr:row>3</xdr:row>
      <xdr:rowOff>76200</xdr:rowOff>
    </xdr:to>
    <xdr:pic>
      <xdr:nvPicPr>
        <xdr:cNvPr id="1" name="Image 2" descr="logo-hokeysub-quadri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60045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66675</xdr:rowOff>
    </xdr:from>
    <xdr:to>
      <xdr:col>1</xdr:col>
      <xdr:colOff>1257300</xdr:colOff>
      <xdr:row>1</xdr:row>
      <xdr:rowOff>1009650</xdr:rowOff>
    </xdr:to>
    <xdr:pic>
      <xdr:nvPicPr>
        <xdr:cNvPr id="1" name="Image 2" descr="logo-hokeysub-quadri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66675"/>
          <a:ext cx="277177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4</xdr:col>
      <xdr:colOff>695325</xdr:colOff>
      <xdr:row>6</xdr:row>
      <xdr:rowOff>123825</xdr:rowOff>
    </xdr:to>
    <xdr:pic>
      <xdr:nvPicPr>
        <xdr:cNvPr id="1" name="Image 2" descr="logo-hokeysub-quadri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1075" y="0"/>
          <a:ext cx="359092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Propri&#233;taire\Mes%20documents\HOCKEY\Championnats%202006\DIV%202%20Grand%20Couronne\D2M%202006%20jou&#233;%20%20-%20Grand%20Couronne%20-%20Grille%204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ominique\AppData\Local\Microsoft\Windows\Temporary%20Internet%20Files\Content.Outlook\3XQB5436\D1M2%208%20equip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ille"/>
      <sheetName val="poules"/>
      <sheetName val="Classement"/>
      <sheetName val="Fair Play"/>
      <sheetName val="Arbitrage"/>
      <sheetName val="Durée"/>
      <sheetName val="Temporaire"/>
      <sheetName val="Mode d'emploi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iche de renseignements compéti"/>
      <sheetName val="Organisation"/>
      <sheetName val="Grille"/>
      <sheetName val="poules"/>
      <sheetName val="Classement"/>
      <sheetName val="Arbitres"/>
      <sheetName val="calcul"/>
      <sheetName val="emmargement"/>
    </sheetNames>
    <sheetDataSet>
      <sheetData sheetId="0">
        <row r="17">
          <cell r="B17" t="str">
            <v>LAGNY</v>
          </cell>
        </row>
        <row r="18">
          <cell r="B18" t="str">
            <v>NOGENT / SEINE</v>
          </cell>
        </row>
        <row r="19">
          <cell r="B19" t="str">
            <v>MOIRANS</v>
          </cell>
        </row>
        <row r="20">
          <cell r="B20" t="str">
            <v>LE CHESNAY</v>
          </cell>
        </row>
        <row r="21">
          <cell r="B21" t="str">
            <v>CLAMART</v>
          </cell>
        </row>
        <row r="22">
          <cell r="B22" t="str">
            <v>HYERES</v>
          </cell>
        </row>
        <row r="23">
          <cell r="B23" t="str">
            <v>REIMS GASM</v>
          </cell>
        </row>
        <row r="24">
          <cell r="B24" t="str">
            <v>PESSAC</v>
          </cell>
        </row>
      </sheetData>
      <sheetData sheetId="3">
        <row r="21">
          <cell r="C21" t="str">
            <v/>
          </cell>
          <cell r="G21" t="str">
            <v/>
          </cell>
          <cell r="P21" t="str">
            <v/>
          </cell>
          <cell r="X21" t="str">
            <v/>
          </cell>
        </row>
        <row r="22">
          <cell r="C22" t="str">
            <v/>
          </cell>
          <cell r="G22" t="str">
            <v/>
          </cell>
          <cell r="P22" t="str">
            <v/>
          </cell>
          <cell r="X22" t="str">
            <v/>
          </cell>
        </row>
        <row r="25">
          <cell r="C25" t="str">
            <v/>
          </cell>
          <cell r="H25" t="str">
            <v/>
          </cell>
          <cell r="Q25" t="str">
            <v/>
          </cell>
          <cell r="Z25" t="str">
            <v/>
          </cell>
        </row>
        <row r="26">
          <cell r="C26" t="str">
            <v/>
          </cell>
          <cell r="H26" t="str">
            <v/>
          </cell>
          <cell r="Q26" t="str">
            <v/>
          </cell>
          <cell r="Z26" t="str">
            <v/>
          </cell>
        </row>
        <row r="29">
          <cell r="C29" t="str">
            <v/>
          </cell>
          <cell r="H29" t="str">
            <v/>
          </cell>
          <cell r="Q29" t="str">
            <v/>
          </cell>
          <cell r="Z29" t="str">
            <v/>
          </cell>
        </row>
        <row r="30">
          <cell r="C30" t="str">
            <v/>
          </cell>
          <cell r="H30" t="str">
            <v/>
          </cell>
          <cell r="Q30" t="str">
            <v/>
          </cell>
          <cell r="Z30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tabColor rgb="FFFF0000"/>
  </sheetPr>
  <dimension ref="A2:D53"/>
  <sheetViews>
    <sheetView zoomScalePageLayoutView="0" workbookViewId="0" topLeftCell="A13">
      <selection activeCell="B26" sqref="B26"/>
    </sheetView>
  </sheetViews>
  <sheetFormatPr defaultColWidth="11.421875" defaultRowHeight="12.75"/>
  <cols>
    <col min="1" max="1" width="11.421875" style="79" customWidth="1"/>
    <col min="2" max="2" width="42.57421875" style="72" customWidth="1"/>
    <col min="3" max="3" width="38.140625" style="72" customWidth="1"/>
    <col min="4" max="16384" width="11.421875" style="72" customWidth="1"/>
  </cols>
  <sheetData>
    <row r="2" spans="1:2" ht="12.75">
      <c r="A2" s="70"/>
      <c r="B2" s="71"/>
    </row>
    <row r="3" spans="1:2" ht="12.75">
      <c r="A3" s="70"/>
      <c r="B3" s="71"/>
    </row>
    <row r="4" spans="1:3" ht="18.75" customHeight="1">
      <c r="A4" s="73">
        <v>1</v>
      </c>
      <c r="B4" s="74" t="s">
        <v>112</v>
      </c>
      <c r="C4" s="80" t="s">
        <v>255</v>
      </c>
    </row>
    <row r="5" spans="1:3" ht="15.75">
      <c r="A5" s="73">
        <v>2</v>
      </c>
      <c r="B5" s="74" t="s">
        <v>113</v>
      </c>
      <c r="C5" s="80" t="s">
        <v>256</v>
      </c>
    </row>
    <row r="6" spans="1:3" ht="15.75">
      <c r="A6" s="73">
        <v>3</v>
      </c>
      <c r="B6" s="74" t="s">
        <v>114</v>
      </c>
      <c r="C6" s="80" t="s">
        <v>257</v>
      </c>
    </row>
    <row r="7" spans="1:3" ht="15.75">
      <c r="A7" s="73">
        <v>4</v>
      </c>
      <c r="B7" s="74" t="s">
        <v>115</v>
      </c>
      <c r="C7" s="80" t="s">
        <v>251</v>
      </c>
    </row>
    <row r="8" spans="1:3" ht="47.25">
      <c r="A8" s="73">
        <v>5</v>
      </c>
      <c r="B8" s="74" t="s">
        <v>116</v>
      </c>
      <c r="C8" s="80" t="s">
        <v>124</v>
      </c>
    </row>
    <row r="9" spans="1:3" ht="31.5">
      <c r="A9" s="73">
        <v>6</v>
      </c>
      <c r="B9" s="74" t="s">
        <v>117</v>
      </c>
      <c r="C9" s="81">
        <v>0.01875</v>
      </c>
    </row>
    <row r="10" spans="1:3" ht="15.75">
      <c r="A10" s="73">
        <v>7</v>
      </c>
      <c r="B10" s="74" t="s">
        <v>198</v>
      </c>
      <c r="C10" s="156">
        <v>0.3958333333333333</v>
      </c>
    </row>
    <row r="11" spans="1:3" ht="15.75">
      <c r="A11" s="73">
        <v>8</v>
      </c>
      <c r="B11" s="74" t="s">
        <v>199</v>
      </c>
      <c r="C11" s="156">
        <v>0.3333333333333333</v>
      </c>
    </row>
    <row r="12" spans="1:2" ht="15.75">
      <c r="A12" s="75"/>
      <c r="B12" s="76"/>
    </row>
    <row r="13" spans="1:2" ht="15.75">
      <c r="A13" s="75"/>
      <c r="B13" s="76"/>
    </row>
    <row r="14" spans="1:2" ht="15.75">
      <c r="A14" s="75"/>
      <c r="B14" s="76"/>
    </row>
    <row r="15" spans="1:2" ht="15.75">
      <c r="A15" s="75"/>
      <c r="B15" s="76"/>
    </row>
    <row r="16" spans="1:2" ht="23.25" customHeight="1">
      <c r="A16" s="220" t="s">
        <v>197</v>
      </c>
      <c r="B16" s="220"/>
    </row>
    <row r="17" spans="1:3" ht="15.75">
      <c r="A17" s="75"/>
      <c r="B17" s="76"/>
      <c r="C17" s="154" t="s">
        <v>174</v>
      </c>
    </row>
    <row r="18" spans="1:3" ht="15.75">
      <c r="A18" s="77" t="s">
        <v>54</v>
      </c>
      <c r="B18" s="78"/>
      <c r="C18" s="154" t="s">
        <v>187</v>
      </c>
    </row>
    <row r="19" spans="1:3" ht="12.75">
      <c r="A19" s="155" t="s">
        <v>7</v>
      </c>
      <c r="B19" s="115" t="s">
        <v>244</v>
      </c>
      <c r="C19" s="154" t="s">
        <v>175</v>
      </c>
    </row>
    <row r="20" spans="1:3" ht="12.75">
      <c r="A20" s="155" t="s">
        <v>8</v>
      </c>
      <c r="B20" s="115" t="s">
        <v>258</v>
      </c>
      <c r="C20" s="154" t="s">
        <v>179</v>
      </c>
    </row>
    <row r="21" spans="1:3" ht="12.75">
      <c r="A21" s="155" t="s">
        <v>15</v>
      </c>
      <c r="B21" s="115" t="s">
        <v>245</v>
      </c>
      <c r="C21" s="154" t="s">
        <v>186</v>
      </c>
    </row>
    <row r="22" spans="1:3" ht="15.75">
      <c r="A22" s="77" t="s">
        <v>55</v>
      </c>
      <c r="C22" s="154"/>
    </row>
    <row r="23" spans="1:3" ht="12.75">
      <c r="A23" s="155" t="s">
        <v>9</v>
      </c>
      <c r="B23" s="115" t="s">
        <v>246</v>
      </c>
      <c r="C23" s="154" t="s">
        <v>176</v>
      </c>
    </row>
    <row r="24" spans="1:3" ht="12.75">
      <c r="A24" s="155" t="s">
        <v>12</v>
      </c>
      <c r="B24" s="115" t="s">
        <v>247</v>
      </c>
      <c r="C24" s="154" t="s">
        <v>180</v>
      </c>
    </row>
    <row r="25" spans="1:3" ht="12.75">
      <c r="A25" s="155" t="s">
        <v>16</v>
      </c>
      <c r="B25" s="115" t="s">
        <v>248</v>
      </c>
      <c r="C25" s="154" t="s">
        <v>185</v>
      </c>
    </row>
    <row r="26" spans="1:3" ht="15.75">
      <c r="A26" s="77" t="s">
        <v>56</v>
      </c>
      <c r="C26" s="154"/>
    </row>
    <row r="27" spans="1:3" ht="12.75">
      <c r="A27" s="155" t="s">
        <v>10</v>
      </c>
      <c r="B27" s="115" t="s">
        <v>249</v>
      </c>
      <c r="C27" s="154" t="s">
        <v>177</v>
      </c>
    </row>
    <row r="28" spans="1:3" ht="12.75">
      <c r="A28" s="155" t="s">
        <v>13</v>
      </c>
      <c r="B28" s="115" t="s">
        <v>250</v>
      </c>
      <c r="C28" s="154" t="s">
        <v>181</v>
      </c>
    </row>
    <row r="29" spans="1:3" ht="12.75">
      <c r="A29" s="155" t="s">
        <v>17</v>
      </c>
      <c r="B29" s="115" t="s">
        <v>251</v>
      </c>
      <c r="C29" s="154" t="s">
        <v>184</v>
      </c>
    </row>
    <row r="30" spans="1:3" ht="15.75">
      <c r="A30" s="77" t="s">
        <v>57</v>
      </c>
      <c r="C30" s="154"/>
    </row>
    <row r="31" spans="1:3" ht="12.75">
      <c r="A31" s="155" t="s">
        <v>11</v>
      </c>
      <c r="B31" s="115" t="s">
        <v>252</v>
      </c>
      <c r="C31" s="154" t="s">
        <v>178</v>
      </c>
    </row>
    <row r="32" spans="1:3" ht="12.75">
      <c r="A32" s="155" t="s">
        <v>14</v>
      </c>
      <c r="B32" s="115" t="s">
        <v>253</v>
      </c>
      <c r="C32" s="154" t="s">
        <v>182</v>
      </c>
    </row>
    <row r="33" spans="1:3" ht="12.75">
      <c r="A33" s="155" t="s">
        <v>18</v>
      </c>
      <c r="B33" s="115" t="s">
        <v>254</v>
      </c>
      <c r="C33" s="154" t="s">
        <v>183</v>
      </c>
    </row>
    <row r="35" spans="1:4" ht="18">
      <c r="A35" s="221" t="s">
        <v>201</v>
      </c>
      <c r="B35" s="222"/>
      <c r="C35" s="223"/>
      <c r="D35" s="207" t="s">
        <v>202</v>
      </c>
    </row>
    <row r="36" spans="1:4" ht="15.75">
      <c r="A36" s="221" t="s">
        <v>203</v>
      </c>
      <c r="B36" s="222"/>
      <c r="C36" s="223"/>
      <c r="D36" s="208">
        <v>3</v>
      </c>
    </row>
    <row r="37" spans="1:4" ht="15.75">
      <c r="A37" s="209"/>
      <c r="B37" s="209" t="s">
        <v>204</v>
      </c>
      <c r="C37" s="209" t="s">
        <v>134</v>
      </c>
      <c r="D37" s="209" t="s">
        <v>125</v>
      </c>
    </row>
    <row r="38" spans="1:4" ht="15">
      <c r="A38" s="108">
        <v>1</v>
      </c>
      <c r="B38" s="210" t="s">
        <v>205</v>
      </c>
      <c r="C38" s="210" t="s">
        <v>206</v>
      </c>
      <c r="D38" s="210" t="s">
        <v>188</v>
      </c>
    </row>
    <row r="39" spans="1:4" ht="15">
      <c r="A39" s="108">
        <v>2</v>
      </c>
      <c r="B39" s="210" t="s">
        <v>207</v>
      </c>
      <c r="C39" s="210" t="s">
        <v>208</v>
      </c>
      <c r="D39" s="210" t="s">
        <v>193</v>
      </c>
    </row>
    <row r="40" spans="1:4" ht="15">
      <c r="A40" s="108">
        <v>3</v>
      </c>
      <c r="B40" s="210" t="s">
        <v>209</v>
      </c>
      <c r="C40" s="210" t="s">
        <v>210</v>
      </c>
      <c r="D40" s="210" t="s">
        <v>190</v>
      </c>
    </row>
    <row r="41" spans="1:4" ht="15">
      <c r="A41" s="108">
        <v>4</v>
      </c>
      <c r="B41" s="210" t="s">
        <v>211</v>
      </c>
      <c r="C41" s="210" t="s">
        <v>212</v>
      </c>
      <c r="D41" s="210" t="s">
        <v>195</v>
      </c>
    </row>
    <row r="42" spans="1:4" ht="15">
      <c r="A42" s="108">
        <v>5</v>
      </c>
      <c r="B42" s="210" t="s">
        <v>213</v>
      </c>
      <c r="C42" s="210" t="s">
        <v>214</v>
      </c>
      <c r="D42" s="210" t="s">
        <v>196</v>
      </c>
    </row>
    <row r="43" spans="1:4" ht="15">
      <c r="A43" s="108">
        <v>6</v>
      </c>
      <c r="B43" s="210" t="s">
        <v>215</v>
      </c>
      <c r="C43" s="210" t="s">
        <v>216</v>
      </c>
      <c r="D43" s="210" t="s">
        <v>194</v>
      </c>
    </row>
    <row r="44" spans="1:4" ht="15">
      <c r="A44" s="108">
        <v>7</v>
      </c>
      <c r="B44" s="210" t="s">
        <v>217</v>
      </c>
      <c r="C44" s="210" t="s">
        <v>218</v>
      </c>
      <c r="D44" s="210" t="s">
        <v>191</v>
      </c>
    </row>
    <row r="45" spans="1:4" ht="15">
      <c r="A45" s="108">
        <v>8</v>
      </c>
      <c r="B45" s="210" t="s">
        <v>219</v>
      </c>
      <c r="C45" s="210" t="s">
        <v>216</v>
      </c>
      <c r="D45" s="210" t="s">
        <v>189</v>
      </c>
    </row>
    <row r="46" spans="1:4" ht="15">
      <c r="A46" s="108">
        <v>9</v>
      </c>
      <c r="B46" s="210" t="s">
        <v>220</v>
      </c>
      <c r="C46" s="210" t="s">
        <v>221</v>
      </c>
      <c r="D46" s="210" t="s">
        <v>192</v>
      </c>
    </row>
    <row r="47" spans="1:4" ht="15">
      <c r="A47" s="108">
        <v>10</v>
      </c>
      <c r="B47" s="210"/>
      <c r="C47" s="210"/>
      <c r="D47" s="210"/>
    </row>
    <row r="48" spans="1:4" ht="15">
      <c r="A48" s="108">
        <v>11</v>
      </c>
      <c r="B48" s="210"/>
      <c r="C48" s="210"/>
      <c r="D48" s="210"/>
    </row>
    <row r="49" spans="1:4" ht="15">
      <c r="A49" s="108">
        <v>12</v>
      </c>
      <c r="B49" s="210"/>
      <c r="C49" s="210"/>
      <c r="D49" s="210"/>
    </row>
    <row r="50" spans="1:4" ht="15">
      <c r="A50" s="108">
        <v>13</v>
      </c>
      <c r="B50" s="210"/>
      <c r="C50" s="210"/>
      <c r="D50" s="210"/>
    </row>
    <row r="51" spans="1:4" ht="15">
      <c r="A51" s="108">
        <v>14</v>
      </c>
      <c r="B51" s="210"/>
      <c r="C51" s="210"/>
      <c r="D51" s="210"/>
    </row>
    <row r="52" spans="1:4" ht="15">
      <c r="A52" s="108">
        <v>15</v>
      </c>
      <c r="B52" s="210"/>
      <c r="C52" s="210"/>
      <c r="D52" s="210"/>
    </row>
    <row r="53" spans="1:4" ht="15">
      <c r="A53" s="108">
        <v>16</v>
      </c>
      <c r="B53" s="210"/>
      <c r="C53" s="210"/>
      <c r="D53" s="210"/>
    </row>
  </sheetData>
  <sheetProtection/>
  <mergeCells count="3">
    <mergeCell ref="A16:B16"/>
    <mergeCell ref="A35:C35"/>
    <mergeCell ref="A36:C36"/>
  </mergeCells>
  <dataValidations count="2">
    <dataValidation type="list" allowBlank="1" showInputMessage="1" showErrorMessage="1" sqref="D36">
      <formula1>"0,2,3,4"</formula1>
    </dataValidation>
    <dataValidation type="list" allowBlank="1" showInputMessage="1" showErrorMessage="1" sqref="D35">
      <formula1>"Oui,Non"</formula1>
    </dataValidation>
  </dataValidation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8">
    <pageSetUpPr fitToPage="1"/>
  </sheetPr>
  <dimension ref="A1:H30"/>
  <sheetViews>
    <sheetView showGridLines="0" zoomScalePageLayoutView="0" workbookViewId="0" topLeftCell="A13">
      <selection activeCell="N11" sqref="N11"/>
    </sheetView>
  </sheetViews>
  <sheetFormatPr defaultColWidth="11.421875" defaultRowHeight="12.75"/>
  <cols>
    <col min="1" max="1" width="10.00390625" style="46" customWidth="1"/>
    <col min="2" max="8" width="14.8515625" style="46" customWidth="1"/>
    <col min="9" max="9" width="5.57421875" style="46" customWidth="1"/>
    <col min="10" max="16384" width="11.421875" style="46" customWidth="1"/>
  </cols>
  <sheetData>
    <row r="1" spans="2:8" ht="17.25" thickBot="1" thickTop="1">
      <c r="B1" s="45" t="s">
        <v>85</v>
      </c>
      <c r="D1" s="45" t="s">
        <v>86</v>
      </c>
      <c r="F1" s="45" t="s">
        <v>87</v>
      </c>
      <c r="H1" s="45" t="s">
        <v>88</v>
      </c>
    </row>
    <row r="2" spans="2:8" ht="24.75" customHeight="1" thickTop="1">
      <c r="B2" s="47" t="s">
        <v>7</v>
      </c>
      <c r="D2" s="47" t="s">
        <v>9</v>
      </c>
      <c r="F2" s="47" t="s">
        <v>10</v>
      </c>
      <c r="H2" s="47" t="s">
        <v>11</v>
      </c>
    </row>
    <row r="3" spans="2:8" ht="24.75" customHeight="1">
      <c r="B3" s="48" t="s">
        <v>8</v>
      </c>
      <c r="D3" s="48" t="s">
        <v>12</v>
      </c>
      <c r="F3" s="48" t="s">
        <v>13</v>
      </c>
      <c r="H3" s="48" t="s">
        <v>14</v>
      </c>
    </row>
    <row r="4" spans="2:8" ht="24.75" customHeight="1" thickBot="1">
      <c r="B4" s="49" t="s">
        <v>15</v>
      </c>
      <c r="D4" s="49" t="s">
        <v>16</v>
      </c>
      <c r="F4" s="49" t="s">
        <v>17</v>
      </c>
      <c r="H4" s="49" t="s">
        <v>18</v>
      </c>
    </row>
    <row r="5" spans="2:8" ht="24.75" customHeight="1" thickBot="1" thickTop="1">
      <c r="B5" s="50" t="s">
        <v>89</v>
      </c>
      <c r="D5" s="50" t="s">
        <v>90</v>
      </c>
      <c r="F5" s="50" t="s">
        <v>91</v>
      </c>
      <c r="H5" s="50" t="s">
        <v>92</v>
      </c>
    </row>
    <row r="6" ht="16.5" thickTop="1"/>
    <row r="7" ht="15.75"/>
    <row r="8" ht="16.5" thickBot="1"/>
    <row r="9" spans="2:6" ht="17.25" thickBot="1" thickTop="1">
      <c r="B9" s="51" t="s">
        <v>93</v>
      </c>
      <c r="F9" s="51" t="s">
        <v>94</v>
      </c>
    </row>
    <row r="10" spans="2:6" ht="24.75" customHeight="1" thickTop="1">
      <c r="B10" s="52" t="s">
        <v>19</v>
      </c>
      <c r="F10" s="52" t="s">
        <v>21</v>
      </c>
    </row>
    <row r="11" spans="2:6" ht="24.75" customHeight="1">
      <c r="B11" s="53" t="s">
        <v>20</v>
      </c>
      <c r="F11" s="53" t="s">
        <v>22</v>
      </c>
    </row>
    <row r="12" spans="2:6" ht="24.75" customHeight="1" thickBot="1">
      <c r="B12" s="54" t="s">
        <v>24</v>
      </c>
      <c r="F12" s="54" t="s">
        <v>26</v>
      </c>
    </row>
    <row r="13" spans="2:8" ht="24" customHeight="1" thickBot="1" thickTop="1">
      <c r="B13" s="55" t="s">
        <v>23</v>
      </c>
      <c r="D13" s="56" t="s">
        <v>95</v>
      </c>
      <c r="F13" s="55" t="s">
        <v>25</v>
      </c>
      <c r="H13" s="56" t="s">
        <v>96</v>
      </c>
    </row>
    <row r="14" spans="2:8" ht="24" customHeight="1" thickBot="1" thickTop="1">
      <c r="B14" s="57" t="s">
        <v>97</v>
      </c>
      <c r="D14" s="58" t="s">
        <v>34</v>
      </c>
      <c r="F14" s="57" t="s">
        <v>98</v>
      </c>
      <c r="H14" s="58" t="s">
        <v>33</v>
      </c>
    </row>
    <row r="15" spans="4:8" ht="24" customHeight="1" thickTop="1">
      <c r="D15" s="59" t="s">
        <v>29</v>
      </c>
      <c r="H15" s="59" t="s">
        <v>27</v>
      </c>
    </row>
    <row r="16" spans="4:8" ht="24" customHeight="1" thickBot="1">
      <c r="D16" s="60" t="s">
        <v>30</v>
      </c>
      <c r="H16" s="60" t="s">
        <v>28</v>
      </c>
    </row>
    <row r="17" spans="2:8" ht="24" customHeight="1" thickBot="1" thickTop="1">
      <c r="B17" s="56" t="s">
        <v>99</v>
      </c>
      <c r="D17" s="61" t="s">
        <v>100</v>
      </c>
      <c r="H17" s="61" t="s">
        <v>101</v>
      </c>
    </row>
    <row r="18" ht="24" customHeight="1" thickBot="1" thickTop="1">
      <c r="B18" s="58" t="s">
        <v>31</v>
      </c>
    </row>
    <row r="19" spans="2:8" ht="24" customHeight="1" thickBot="1" thickTop="1">
      <c r="B19" s="59" t="s">
        <v>32</v>
      </c>
      <c r="F19" s="62" t="s">
        <v>172</v>
      </c>
      <c r="H19" s="62" t="s">
        <v>171</v>
      </c>
    </row>
    <row r="20" spans="2:8" ht="24" customHeight="1" thickTop="1">
      <c r="B20" s="59" t="s">
        <v>36</v>
      </c>
      <c r="F20" s="63" t="s">
        <v>40</v>
      </c>
      <c r="H20" s="63" t="s">
        <v>39</v>
      </c>
    </row>
    <row r="21" spans="2:8" ht="24" customHeight="1" thickBot="1">
      <c r="B21" s="60" t="s">
        <v>35</v>
      </c>
      <c r="F21" s="64">
        <v>3</v>
      </c>
      <c r="H21" s="64">
        <v>2</v>
      </c>
    </row>
    <row r="22" spans="2:8" ht="24" customHeight="1" thickBot="1" thickTop="1">
      <c r="B22" s="61" t="s">
        <v>102</v>
      </c>
      <c r="F22" s="65" t="s">
        <v>103</v>
      </c>
      <c r="H22" s="65" t="s">
        <v>104</v>
      </c>
    </row>
    <row r="23" ht="24" customHeight="1" thickBot="1" thickTop="1"/>
    <row r="24" spans="2:8" ht="24" customHeight="1" thickBot="1" thickTop="1">
      <c r="B24" s="62" t="s">
        <v>167</v>
      </c>
      <c r="D24" s="62" t="s">
        <v>168</v>
      </c>
      <c r="F24" s="62" t="s">
        <v>169</v>
      </c>
      <c r="H24" s="62" t="s">
        <v>170</v>
      </c>
    </row>
    <row r="25" spans="2:8" ht="24" customHeight="1" thickTop="1">
      <c r="B25" s="63" t="s">
        <v>37</v>
      </c>
      <c r="D25" s="63" t="s">
        <v>38</v>
      </c>
      <c r="F25" s="63" t="s">
        <v>42</v>
      </c>
      <c r="H25" s="63" t="s">
        <v>41</v>
      </c>
    </row>
    <row r="26" spans="2:8" ht="24" customHeight="1" thickBot="1">
      <c r="B26" s="64" t="s">
        <v>49</v>
      </c>
      <c r="D26" s="64" t="s">
        <v>48</v>
      </c>
      <c r="F26" s="64" t="s">
        <v>47</v>
      </c>
      <c r="H26" s="64">
        <v>1</v>
      </c>
    </row>
    <row r="27" spans="2:8" ht="24" customHeight="1" thickBot="1" thickTop="1">
      <c r="B27" s="65" t="s">
        <v>105</v>
      </c>
      <c r="D27" s="65" t="s">
        <v>106</v>
      </c>
      <c r="F27" s="65" t="s">
        <v>107</v>
      </c>
      <c r="H27" s="65" t="s">
        <v>108</v>
      </c>
    </row>
    <row r="28" spans="1:7" ht="24" customHeight="1" thickBot="1" thickTop="1">
      <c r="A28" s="224" t="s">
        <v>173</v>
      </c>
      <c r="B28" s="224"/>
      <c r="C28" s="224"/>
      <c r="D28" s="224"/>
      <c r="E28" s="224"/>
      <c r="F28" s="224"/>
      <c r="G28" s="224"/>
    </row>
    <row r="29" spans="2:7" ht="24" customHeight="1" thickTop="1">
      <c r="B29" s="66" t="s">
        <v>80</v>
      </c>
      <c r="C29" s="66" t="s">
        <v>78</v>
      </c>
      <c r="D29" s="66">
        <v>151</v>
      </c>
      <c r="E29" s="66">
        <v>251</v>
      </c>
      <c r="F29" s="66">
        <v>191</v>
      </c>
      <c r="G29" s="66">
        <v>291</v>
      </c>
    </row>
    <row r="30" spans="2:7" ht="24" customHeight="1" thickBot="1">
      <c r="B30" s="67" t="s">
        <v>81</v>
      </c>
      <c r="C30" s="67" t="s">
        <v>79</v>
      </c>
      <c r="D30" s="67">
        <v>152</v>
      </c>
      <c r="E30" s="67">
        <v>252</v>
      </c>
      <c r="F30" s="67">
        <v>192</v>
      </c>
      <c r="G30" s="67">
        <v>292</v>
      </c>
    </row>
    <row r="31" ht="24" customHeight="1" thickTop="1"/>
    <row r="32" ht="24" customHeight="1"/>
    <row r="33" ht="24" customHeight="1"/>
    <row r="34" ht="24" customHeight="1"/>
    <row r="35" ht="24" customHeight="1"/>
    <row r="36" ht="24" customHeight="1"/>
    <row r="37" ht="24" customHeight="1"/>
    <row r="38" ht="24" customHeight="1"/>
    <row r="39" ht="24" customHeight="1"/>
  </sheetData>
  <sheetProtection/>
  <mergeCells count="1">
    <mergeCell ref="A28:G28"/>
  </mergeCells>
  <printOptions/>
  <pageMargins left="0.7874015748031497" right="0.7874015748031497" top="0.984251968503937" bottom="0.984251968503937" header="0.5118110236220472" footer="0.5118110236220472"/>
  <pageSetup fitToHeight="1" fitToWidth="1" orientation="portrait" paperSize="9" scale="7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S55"/>
  <sheetViews>
    <sheetView tabSelected="1" zoomScalePageLayoutView="0" workbookViewId="0" topLeftCell="A1">
      <selection activeCell="H59" sqref="G59:H59"/>
    </sheetView>
  </sheetViews>
  <sheetFormatPr defaultColWidth="11.421875" defaultRowHeight="12.75"/>
  <cols>
    <col min="1" max="2" width="8.7109375" style="0" customWidth="1"/>
    <col min="3" max="3" width="7.28125" style="0" customWidth="1"/>
    <col min="4" max="4" width="23.421875" style="0" customWidth="1"/>
    <col min="5" max="5" width="4.7109375" style="0" customWidth="1"/>
    <col min="6" max="6" width="1.1484375" style="0" customWidth="1"/>
    <col min="7" max="8" width="7.7109375" style="1" customWidth="1"/>
    <col min="9" max="9" width="0.9921875" style="0" customWidth="1"/>
    <col min="10" max="10" width="4.7109375" style="0" customWidth="1"/>
    <col min="11" max="11" width="26.28125" style="0" customWidth="1"/>
    <col min="12" max="12" width="0.9921875" style="0" customWidth="1"/>
    <col min="13" max="15" width="16.7109375" style="0" customWidth="1"/>
  </cols>
  <sheetData>
    <row r="1" spans="6:15" s="82" customFormat="1" ht="27.75" customHeight="1">
      <c r="F1" s="83"/>
      <c r="G1" s="84" t="s">
        <v>118</v>
      </c>
      <c r="H1" s="85"/>
      <c r="I1" s="233" t="str">
        <f>saison</f>
        <v>2018-2019</v>
      </c>
      <c r="J1" s="233"/>
      <c r="K1" s="233"/>
      <c r="L1" s="233"/>
      <c r="M1" s="233"/>
      <c r="N1" s="233"/>
      <c r="O1" s="233"/>
    </row>
    <row r="2" spans="6:15" s="82" customFormat="1" ht="27.75" customHeight="1">
      <c r="F2" s="83"/>
      <c r="G2" s="231" t="s">
        <v>119</v>
      </c>
      <c r="H2" s="232"/>
      <c r="I2" s="233" t="str">
        <f>lieu</f>
        <v>Saint Brieuc</v>
      </c>
      <c r="J2" s="233"/>
      <c r="K2" s="233"/>
      <c r="L2" s="233"/>
      <c r="M2" s="233"/>
      <c r="N2" s="233"/>
      <c r="O2" s="233"/>
    </row>
    <row r="3" spans="11:15" s="85" customFormat="1" ht="34.5" customHeight="1">
      <c r="K3" s="234" t="s">
        <v>120</v>
      </c>
      <c r="L3" s="234"/>
      <c r="M3" s="234"/>
      <c r="N3" s="234"/>
      <c r="O3" s="234"/>
    </row>
    <row r="4" spans="1:15" s="85" customFormat="1" ht="21" customHeight="1">
      <c r="A4" s="84" t="s">
        <v>121</v>
      </c>
      <c r="B4" s="235" t="str">
        <f>date</f>
        <v>15 et 16 juin 2019</v>
      </c>
      <c r="C4" s="236"/>
      <c r="D4" s="236"/>
      <c r="E4" s="236"/>
      <c r="F4" s="236"/>
      <c r="G4" s="236"/>
      <c r="H4" s="236"/>
      <c r="I4" s="237"/>
      <c r="J4" s="231" t="s">
        <v>122</v>
      </c>
      <c r="K4" s="231"/>
      <c r="L4" s="232"/>
      <c r="M4" s="233" t="str">
        <f>catégorie</f>
        <v>Division 3 Masculine</v>
      </c>
      <c r="N4" s="233"/>
      <c r="O4" s="233"/>
    </row>
    <row r="5" spans="1:18" s="82" customFormat="1" ht="18" customHeight="1">
      <c r="A5" s="230" t="s">
        <v>123</v>
      </c>
      <c r="B5" s="230"/>
      <c r="C5" s="230"/>
      <c r="D5" s="238" t="str">
        <f>duréematch</f>
        <v>2*10' +2' de mi-temps +1' temps mort par  équipe +3' inter-match = 27'</v>
      </c>
      <c r="E5" s="238"/>
      <c r="F5" s="238"/>
      <c r="G5" s="238"/>
      <c r="H5" s="238"/>
      <c r="I5" s="238"/>
      <c r="J5" s="238"/>
      <c r="K5" s="238"/>
      <c r="L5" s="238"/>
      <c r="M5" s="238"/>
      <c r="N5" s="238"/>
      <c r="O5" s="238"/>
      <c r="P5" s="86"/>
      <c r="Q5" s="86"/>
      <c r="R5" s="86"/>
    </row>
    <row r="6" spans="9:15" ht="34.5" customHeight="1" thickBot="1">
      <c r="I6" s="44"/>
      <c r="J6" s="44"/>
      <c r="K6" s="44"/>
      <c r="L6" s="44"/>
      <c r="M6" s="101"/>
      <c r="N6" s="101"/>
      <c r="O6" s="101"/>
    </row>
    <row r="7" spans="1:15" s="10" customFormat="1" ht="21.75" customHeight="1" thickBot="1" thickTop="1">
      <c r="A7" s="2"/>
      <c r="B7" s="2"/>
      <c r="C7" s="3"/>
      <c r="D7" s="4" t="s">
        <v>51</v>
      </c>
      <c r="E7" s="5"/>
      <c r="F7" s="6"/>
      <c r="G7" s="4" t="s">
        <v>52</v>
      </c>
      <c r="H7" s="7"/>
      <c r="I7" s="8"/>
      <c r="J7" s="9" t="s">
        <v>50</v>
      </c>
      <c r="K7" s="5"/>
      <c r="L7" s="6"/>
      <c r="M7" s="227" t="s">
        <v>132</v>
      </c>
      <c r="N7" s="228"/>
      <c r="O7" s="229"/>
    </row>
    <row r="8" spans="1:15" s="10" customFormat="1" ht="21.75" customHeight="1" thickBot="1" thickTop="1">
      <c r="A8" s="11" t="s">
        <v>53</v>
      </c>
      <c r="B8" s="11" t="s">
        <v>0</v>
      </c>
      <c r="C8" s="12" t="s">
        <v>6</v>
      </c>
      <c r="D8" s="12" t="s">
        <v>4</v>
      </c>
      <c r="E8" s="12" t="s">
        <v>5</v>
      </c>
      <c r="F8" s="13"/>
      <c r="G8" s="12" t="s">
        <v>2</v>
      </c>
      <c r="H8" s="12" t="s">
        <v>1</v>
      </c>
      <c r="I8" s="13"/>
      <c r="J8" s="12" t="s">
        <v>5</v>
      </c>
      <c r="K8" s="12" t="s">
        <v>3</v>
      </c>
      <c r="L8" s="13"/>
      <c r="M8" s="109" t="s">
        <v>129</v>
      </c>
      <c r="N8" s="225" t="s">
        <v>84</v>
      </c>
      <c r="O8" s="226"/>
    </row>
    <row r="9" spans="1:15" s="10" customFormat="1" ht="16.5" customHeight="1" thickBot="1" thickTop="1">
      <c r="A9" s="37" t="s">
        <v>82</v>
      </c>
      <c r="B9" s="29">
        <f>HoraireMatchJ1</f>
        <v>0.3958333333333333</v>
      </c>
      <c r="C9" s="152" t="s">
        <v>143</v>
      </c>
      <c r="D9" s="131" t="str">
        <f>pa1</f>
        <v>Brest</v>
      </c>
      <c r="E9" s="131" t="s">
        <v>7</v>
      </c>
      <c r="F9" s="132"/>
      <c r="G9" s="133">
        <v>4</v>
      </c>
      <c r="H9" s="134">
        <v>1</v>
      </c>
      <c r="I9" s="132"/>
      <c r="J9" s="131" t="s">
        <v>8</v>
      </c>
      <c r="K9" s="131" t="str">
        <f>pa5</f>
        <v>Le Chesnay 2</v>
      </c>
      <c r="L9" s="132"/>
      <c r="M9" s="142"/>
      <c r="N9" s="143"/>
      <c r="O9" s="143"/>
    </row>
    <row r="10" spans="1:15" s="10" customFormat="1" ht="16.5" customHeight="1" thickBot="1" thickTop="1">
      <c r="A10" s="37" t="s">
        <v>82</v>
      </c>
      <c r="B10" s="39">
        <f aca="true" t="shared" si="0" ref="B10:B31">IF(G9="f",B9,IF(H9="f",B9,B9+durée1))</f>
        <v>0.4145833333333333</v>
      </c>
      <c r="C10" s="152" t="s">
        <v>144</v>
      </c>
      <c r="D10" s="131" t="str">
        <f>pb2</f>
        <v>Moirans 2</v>
      </c>
      <c r="E10" s="131" t="s">
        <v>9</v>
      </c>
      <c r="F10" s="132"/>
      <c r="G10" s="134">
        <v>2</v>
      </c>
      <c r="H10" s="134">
        <v>1</v>
      </c>
      <c r="I10" s="132"/>
      <c r="J10" s="131" t="s">
        <v>12</v>
      </c>
      <c r="K10" s="131" t="str">
        <f>pb6</f>
        <v>Rennes 2</v>
      </c>
      <c r="L10" s="132"/>
      <c r="M10" s="142"/>
      <c r="N10" s="144"/>
      <c r="O10" s="144"/>
    </row>
    <row r="11" spans="1:15" s="10" customFormat="1" ht="16.5" customHeight="1" thickBot="1" thickTop="1">
      <c r="A11" s="37" t="s">
        <v>82</v>
      </c>
      <c r="B11" s="39">
        <f t="shared" si="0"/>
        <v>0.4333333333333333</v>
      </c>
      <c r="C11" s="152" t="s">
        <v>145</v>
      </c>
      <c r="D11" s="131" t="str">
        <f>pc3</f>
        <v>La Rochelle</v>
      </c>
      <c r="E11" s="131" t="s">
        <v>10</v>
      </c>
      <c r="F11" s="132"/>
      <c r="G11" s="134">
        <v>1</v>
      </c>
      <c r="H11" s="134">
        <v>2</v>
      </c>
      <c r="I11" s="132"/>
      <c r="J11" s="131" t="s">
        <v>13</v>
      </c>
      <c r="K11" s="131" t="str">
        <f>pc7</f>
        <v>Lyon</v>
      </c>
      <c r="L11" s="132"/>
      <c r="M11" s="145"/>
      <c r="N11" s="144"/>
      <c r="O11" s="144"/>
    </row>
    <row r="12" spans="1:15" s="10" customFormat="1" ht="16.5" customHeight="1" thickBot="1" thickTop="1">
      <c r="A12" s="37" t="s">
        <v>82</v>
      </c>
      <c r="B12" s="39">
        <f t="shared" si="0"/>
        <v>0.4520833333333333</v>
      </c>
      <c r="C12" s="152" t="s">
        <v>146</v>
      </c>
      <c r="D12" s="131" t="str">
        <f>pd4</f>
        <v>Dinan 2</v>
      </c>
      <c r="E12" s="131" t="s">
        <v>11</v>
      </c>
      <c r="F12" s="132"/>
      <c r="G12" s="134">
        <v>3</v>
      </c>
      <c r="H12" s="134">
        <v>0</v>
      </c>
      <c r="I12" s="132"/>
      <c r="J12" s="131" t="s">
        <v>14</v>
      </c>
      <c r="K12" s="131" t="str">
        <f>pd8</f>
        <v>Le Puy 2</v>
      </c>
      <c r="L12" s="132"/>
      <c r="M12" s="144"/>
      <c r="N12" s="144"/>
      <c r="O12" s="144"/>
    </row>
    <row r="13" spans="1:15" s="10" customFormat="1" ht="16.5" customHeight="1" thickBot="1" thickTop="1">
      <c r="A13" s="37" t="s">
        <v>82</v>
      </c>
      <c r="B13" s="39">
        <f t="shared" si="0"/>
        <v>0.47083333333333327</v>
      </c>
      <c r="C13" s="152" t="s">
        <v>147</v>
      </c>
      <c r="D13" s="131" t="str">
        <f>pa5</f>
        <v>Le Chesnay 2</v>
      </c>
      <c r="E13" s="131" t="s">
        <v>8</v>
      </c>
      <c r="F13" s="132"/>
      <c r="G13" s="134">
        <v>0</v>
      </c>
      <c r="H13" s="134">
        <v>3</v>
      </c>
      <c r="I13" s="132"/>
      <c r="J13" s="131" t="s">
        <v>15</v>
      </c>
      <c r="K13" s="131" t="str">
        <f>pa9</f>
        <v>Hyères 2</v>
      </c>
      <c r="L13" s="132"/>
      <c r="M13" s="144"/>
      <c r="N13" s="144"/>
      <c r="O13" s="144"/>
    </row>
    <row r="14" spans="1:15" s="10" customFormat="1" ht="16.5" customHeight="1" thickBot="1" thickTop="1">
      <c r="A14" s="37" t="s">
        <v>82</v>
      </c>
      <c r="B14" s="39">
        <f t="shared" si="0"/>
        <v>0.48958333333333326</v>
      </c>
      <c r="C14" s="152" t="s">
        <v>148</v>
      </c>
      <c r="D14" s="131" t="str">
        <f>pb6</f>
        <v>Rennes 2</v>
      </c>
      <c r="E14" s="131" t="s">
        <v>12</v>
      </c>
      <c r="F14" s="132"/>
      <c r="G14" s="134">
        <v>4</v>
      </c>
      <c r="H14" s="134">
        <v>0</v>
      </c>
      <c r="I14" s="132"/>
      <c r="J14" s="131" t="s">
        <v>16</v>
      </c>
      <c r="K14" s="131" t="str">
        <f>pb10</f>
        <v>Epernay</v>
      </c>
      <c r="L14" s="132"/>
      <c r="M14" s="144"/>
      <c r="N14" s="144"/>
      <c r="O14" s="144"/>
    </row>
    <row r="15" spans="1:15" s="10" customFormat="1" ht="16.5" customHeight="1" thickBot="1" thickTop="1">
      <c r="A15" s="37" t="s">
        <v>82</v>
      </c>
      <c r="B15" s="39">
        <f t="shared" si="0"/>
        <v>0.5083333333333333</v>
      </c>
      <c r="C15" s="152" t="s">
        <v>149</v>
      </c>
      <c r="D15" s="131" t="str">
        <f>pc7</f>
        <v>Lyon</v>
      </c>
      <c r="E15" s="131" t="s">
        <v>13</v>
      </c>
      <c r="F15" s="132"/>
      <c r="G15" s="134">
        <v>1</v>
      </c>
      <c r="H15" s="134">
        <v>0</v>
      </c>
      <c r="I15" s="132"/>
      <c r="J15" s="131" t="s">
        <v>17</v>
      </c>
      <c r="K15" s="131" t="str">
        <f>pc11</f>
        <v>Saint Brieuc</v>
      </c>
      <c r="L15" s="132"/>
      <c r="M15" s="144"/>
      <c r="N15" s="144"/>
      <c r="O15" s="144"/>
    </row>
    <row r="16" spans="1:15" s="10" customFormat="1" ht="16.5" customHeight="1" thickBot="1" thickTop="1">
      <c r="A16" s="37" t="s">
        <v>82</v>
      </c>
      <c r="B16" s="39">
        <f t="shared" si="0"/>
        <v>0.5270833333333333</v>
      </c>
      <c r="C16" s="152" t="s">
        <v>150</v>
      </c>
      <c r="D16" s="131" t="str">
        <f>pd8</f>
        <v>Le Puy 2</v>
      </c>
      <c r="E16" s="131" t="s">
        <v>14</v>
      </c>
      <c r="F16" s="132"/>
      <c r="G16" s="134">
        <v>0</v>
      </c>
      <c r="H16" s="134">
        <v>4</v>
      </c>
      <c r="I16" s="132"/>
      <c r="J16" s="131" t="s">
        <v>18</v>
      </c>
      <c r="K16" s="131" t="str">
        <f>pd12</f>
        <v>Marseille HS</v>
      </c>
      <c r="L16" s="132"/>
      <c r="M16" s="145"/>
      <c r="N16" s="144"/>
      <c r="O16" s="144"/>
    </row>
    <row r="17" spans="1:15" s="10" customFormat="1" ht="16.5" customHeight="1" thickBot="1" thickTop="1">
      <c r="A17" s="37" t="s">
        <v>82</v>
      </c>
      <c r="B17" s="39">
        <f t="shared" si="0"/>
        <v>0.5458333333333334</v>
      </c>
      <c r="C17" s="152" t="s">
        <v>151</v>
      </c>
      <c r="D17" s="131" t="str">
        <f>pa9</f>
        <v>Hyères 2</v>
      </c>
      <c r="E17" s="131" t="s">
        <v>15</v>
      </c>
      <c r="F17" s="132"/>
      <c r="G17" s="134">
        <v>0</v>
      </c>
      <c r="H17" s="134">
        <v>2</v>
      </c>
      <c r="I17" s="132"/>
      <c r="J17" s="131" t="s">
        <v>7</v>
      </c>
      <c r="K17" s="131" t="str">
        <f>pa1</f>
        <v>Brest</v>
      </c>
      <c r="L17" s="132"/>
      <c r="M17" s="145"/>
      <c r="N17" s="144"/>
      <c r="O17" s="144"/>
    </row>
    <row r="18" spans="1:15" s="10" customFormat="1" ht="16.5" customHeight="1" thickBot="1" thickTop="1">
      <c r="A18" s="37" t="s">
        <v>82</v>
      </c>
      <c r="B18" s="39">
        <f t="shared" si="0"/>
        <v>0.5645833333333334</v>
      </c>
      <c r="C18" s="152" t="s">
        <v>152</v>
      </c>
      <c r="D18" s="131" t="str">
        <f>pb10</f>
        <v>Epernay</v>
      </c>
      <c r="E18" s="131" t="s">
        <v>16</v>
      </c>
      <c r="F18" s="132"/>
      <c r="G18" s="134">
        <v>0</v>
      </c>
      <c r="H18" s="134">
        <v>6</v>
      </c>
      <c r="I18" s="132"/>
      <c r="J18" s="131" t="s">
        <v>9</v>
      </c>
      <c r="K18" s="131" t="str">
        <f>pb2</f>
        <v>Moirans 2</v>
      </c>
      <c r="L18" s="132"/>
      <c r="M18" s="145"/>
      <c r="N18" s="144"/>
      <c r="O18" s="144"/>
    </row>
    <row r="19" spans="1:15" s="10" customFormat="1" ht="16.5" customHeight="1" thickBot="1" thickTop="1">
      <c r="A19" s="37" t="s">
        <v>82</v>
      </c>
      <c r="B19" s="39">
        <f t="shared" si="0"/>
        <v>0.5833333333333335</v>
      </c>
      <c r="C19" s="152" t="s">
        <v>153</v>
      </c>
      <c r="D19" s="131" t="str">
        <f>pc11</f>
        <v>Saint Brieuc</v>
      </c>
      <c r="E19" s="131" t="s">
        <v>17</v>
      </c>
      <c r="F19" s="132"/>
      <c r="G19" s="134">
        <v>3</v>
      </c>
      <c r="H19" s="134">
        <v>2</v>
      </c>
      <c r="I19" s="132"/>
      <c r="J19" s="131" t="s">
        <v>10</v>
      </c>
      <c r="K19" s="131" t="str">
        <f>pc3</f>
        <v>La Rochelle</v>
      </c>
      <c r="L19" s="132"/>
      <c r="M19" s="142"/>
      <c r="N19" s="144"/>
      <c r="O19" s="214"/>
    </row>
    <row r="20" spans="1:15" s="10" customFormat="1" ht="16.5" customHeight="1" thickBot="1" thickTop="1">
      <c r="A20" s="37" t="s">
        <v>82</v>
      </c>
      <c r="B20" s="39">
        <f t="shared" si="0"/>
        <v>0.6020833333333335</v>
      </c>
      <c r="C20" s="152" t="s">
        <v>154</v>
      </c>
      <c r="D20" s="134" t="str">
        <f>pd12</f>
        <v>Marseille HS</v>
      </c>
      <c r="E20" s="131" t="s">
        <v>18</v>
      </c>
      <c r="F20" s="132"/>
      <c r="G20" s="134">
        <v>1</v>
      </c>
      <c r="H20" s="134">
        <v>1</v>
      </c>
      <c r="I20" s="132"/>
      <c r="J20" s="131" t="s">
        <v>11</v>
      </c>
      <c r="K20" s="131" t="str">
        <f>pd4</f>
        <v>Dinan 2</v>
      </c>
      <c r="L20" s="132"/>
      <c r="M20" s="145"/>
      <c r="N20" s="144"/>
      <c r="O20" s="144"/>
    </row>
    <row r="21" spans="1:15" s="10" customFormat="1" ht="16.5" customHeight="1" thickBot="1" thickTop="1">
      <c r="A21" s="37" t="s">
        <v>82</v>
      </c>
      <c r="B21" s="39">
        <f t="shared" si="0"/>
        <v>0.6208333333333336</v>
      </c>
      <c r="C21" s="152" t="s">
        <v>155</v>
      </c>
      <c r="D21" s="134" t="str">
        <f>x1a</f>
        <v>Brest</v>
      </c>
      <c r="E21" s="131" t="s">
        <v>19</v>
      </c>
      <c r="F21" s="132"/>
      <c r="G21" s="134">
        <v>0</v>
      </c>
      <c r="H21" s="134">
        <v>5</v>
      </c>
      <c r="I21" s="132"/>
      <c r="J21" s="131" t="s">
        <v>24</v>
      </c>
      <c r="K21" s="134" t="str">
        <f>x1b</f>
        <v>Moirans 2</v>
      </c>
      <c r="L21" s="132"/>
      <c r="M21" s="145"/>
      <c r="N21" s="144"/>
      <c r="O21" s="143"/>
    </row>
    <row r="22" spans="1:15" s="10" customFormat="1" ht="16.5" customHeight="1" thickBot="1" thickTop="1">
      <c r="A22" s="37" t="s">
        <v>82</v>
      </c>
      <c r="B22" s="39">
        <f t="shared" si="0"/>
        <v>0.6395833333333336</v>
      </c>
      <c r="C22" s="152" t="s">
        <v>156</v>
      </c>
      <c r="D22" s="134" t="str">
        <f>x2a</f>
        <v>Hyères 2</v>
      </c>
      <c r="E22" s="131" t="s">
        <v>20</v>
      </c>
      <c r="F22" s="132"/>
      <c r="G22" s="134">
        <v>2</v>
      </c>
      <c r="H22" s="134">
        <v>2</v>
      </c>
      <c r="I22" s="132"/>
      <c r="J22" s="131" t="s">
        <v>23</v>
      </c>
      <c r="K22" s="134" t="str">
        <f>x2b</f>
        <v>Rennes 2</v>
      </c>
      <c r="L22" s="132"/>
      <c r="M22" s="144"/>
      <c r="N22" s="144"/>
      <c r="O22" s="144"/>
    </row>
    <row r="23" spans="1:15" s="10" customFormat="1" ht="16.5" customHeight="1" thickBot="1" thickTop="1">
      <c r="A23" s="37" t="s">
        <v>82</v>
      </c>
      <c r="B23" s="39">
        <f t="shared" si="0"/>
        <v>0.6583333333333337</v>
      </c>
      <c r="C23" s="152" t="s">
        <v>157</v>
      </c>
      <c r="D23" s="134" t="str">
        <f>y1c</f>
        <v>Lyon</v>
      </c>
      <c r="E23" s="131" t="s">
        <v>21</v>
      </c>
      <c r="F23" s="132"/>
      <c r="G23" s="134">
        <v>1</v>
      </c>
      <c r="H23" s="134">
        <v>1</v>
      </c>
      <c r="I23" s="132"/>
      <c r="J23" s="131" t="s">
        <v>26</v>
      </c>
      <c r="K23" s="134" t="str">
        <f>y1d</f>
        <v>Marseille HS</v>
      </c>
      <c r="L23" s="132"/>
      <c r="M23" s="145"/>
      <c r="N23" s="144"/>
      <c r="O23" s="144"/>
    </row>
    <row r="24" spans="1:15" s="10" customFormat="1" ht="16.5" customHeight="1" thickBot="1" thickTop="1">
      <c r="A24" s="37" t="s">
        <v>82</v>
      </c>
      <c r="B24" s="39">
        <f t="shared" si="0"/>
        <v>0.6770833333333337</v>
      </c>
      <c r="C24" s="152" t="s">
        <v>158</v>
      </c>
      <c r="D24" s="134" t="str">
        <f>y2c</f>
        <v>Saint Brieuc</v>
      </c>
      <c r="E24" s="131" t="s">
        <v>22</v>
      </c>
      <c r="F24" s="132"/>
      <c r="G24" s="134">
        <v>6</v>
      </c>
      <c r="H24" s="134">
        <v>1</v>
      </c>
      <c r="I24" s="132"/>
      <c r="J24" s="131" t="s">
        <v>25</v>
      </c>
      <c r="K24" s="134" t="str">
        <f>y2d</f>
        <v>Dinan 2</v>
      </c>
      <c r="L24" s="132"/>
      <c r="M24" s="145"/>
      <c r="N24" s="146"/>
      <c r="O24" s="144"/>
    </row>
    <row r="25" spans="1:15" s="10" customFormat="1" ht="16.5" customHeight="1" thickBot="1" thickTop="1">
      <c r="A25" s="37" t="s">
        <v>82</v>
      </c>
      <c r="B25" s="39">
        <f t="shared" si="0"/>
        <v>0.6958333333333337</v>
      </c>
      <c r="C25" s="152" t="s">
        <v>159</v>
      </c>
      <c r="D25" s="134" t="str">
        <f>x2b</f>
        <v>Rennes 2</v>
      </c>
      <c r="E25" s="131" t="s">
        <v>23</v>
      </c>
      <c r="F25" s="132"/>
      <c r="G25" s="134">
        <v>5</v>
      </c>
      <c r="H25" s="134">
        <v>2</v>
      </c>
      <c r="I25" s="132"/>
      <c r="J25" s="131" t="s">
        <v>19</v>
      </c>
      <c r="K25" s="134" t="str">
        <f>x1a</f>
        <v>Brest</v>
      </c>
      <c r="L25" s="132"/>
      <c r="M25" s="145"/>
      <c r="N25" s="144"/>
      <c r="O25" s="144"/>
    </row>
    <row r="26" spans="1:15" s="10" customFormat="1" ht="16.5" customHeight="1" thickBot="1" thickTop="1">
      <c r="A26" s="37" t="s">
        <v>82</v>
      </c>
      <c r="B26" s="39">
        <f t="shared" si="0"/>
        <v>0.7145833333333338</v>
      </c>
      <c r="C26" s="152" t="s">
        <v>160</v>
      </c>
      <c r="D26" s="134" t="str">
        <f>x1b</f>
        <v>Moirans 2</v>
      </c>
      <c r="E26" s="131" t="s">
        <v>24</v>
      </c>
      <c r="F26" s="132"/>
      <c r="G26" s="134">
        <v>4</v>
      </c>
      <c r="H26" s="134">
        <v>0</v>
      </c>
      <c r="I26" s="132"/>
      <c r="J26" s="131" t="s">
        <v>20</v>
      </c>
      <c r="K26" s="134" t="str">
        <f>x2a</f>
        <v>Hyères 2</v>
      </c>
      <c r="L26" s="132"/>
      <c r="M26" s="145"/>
      <c r="N26" s="144"/>
      <c r="O26" s="144"/>
    </row>
    <row r="27" spans="1:15" s="10" customFormat="1" ht="16.5" customHeight="1" thickBot="1" thickTop="1">
      <c r="A27" s="37" t="s">
        <v>82</v>
      </c>
      <c r="B27" s="39">
        <f t="shared" si="0"/>
        <v>0.7333333333333338</v>
      </c>
      <c r="C27" s="152" t="s">
        <v>161</v>
      </c>
      <c r="D27" s="134" t="str">
        <f>y2d</f>
        <v>Dinan 2</v>
      </c>
      <c r="E27" s="131" t="s">
        <v>25</v>
      </c>
      <c r="F27" s="132"/>
      <c r="G27" s="134">
        <v>1</v>
      </c>
      <c r="H27" s="134">
        <v>2</v>
      </c>
      <c r="I27" s="132"/>
      <c r="J27" s="131" t="s">
        <v>21</v>
      </c>
      <c r="K27" s="134" t="str">
        <f>y1c</f>
        <v>Lyon</v>
      </c>
      <c r="L27" s="132"/>
      <c r="M27" s="145"/>
      <c r="N27" s="145"/>
      <c r="O27" s="144"/>
    </row>
    <row r="28" spans="1:15" s="10" customFormat="1" ht="16.5" customHeight="1" thickBot="1" thickTop="1">
      <c r="A28" s="37" t="s">
        <v>82</v>
      </c>
      <c r="B28" s="39">
        <f t="shared" si="0"/>
        <v>0.7520833333333339</v>
      </c>
      <c r="C28" s="152" t="s">
        <v>162</v>
      </c>
      <c r="D28" s="134" t="str">
        <f>y1d</f>
        <v>Marseille HS</v>
      </c>
      <c r="E28" s="131" t="s">
        <v>26</v>
      </c>
      <c r="F28" s="132"/>
      <c r="G28" s="134">
        <v>2</v>
      </c>
      <c r="H28" s="134">
        <v>4</v>
      </c>
      <c r="I28" s="132"/>
      <c r="J28" s="131" t="s">
        <v>22</v>
      </c>
      <c r="K28" s="134" t="str">
        <f>y2c</f>
        <v>Saint Brieuc</v>
      </c>
      <c r="L28" s="132"/>
      <c r="M28" s="145"/>
      <c r="N28" s="145"/>
      <c r="O28" s="144"/>
    </row>
    <row r="29" spans="1:15" s="10" customFormat="1" ht="14.25" thickBot="1" thickTop="1">
      <c r="A29" s="37" t="s">
        <v>82</v>
      </c>
      <c r="B29" s="39">
        <f t="shared" si="0"/>
        <v>0.7708333333333339</v>
      </c>
      <c r="C29" s="152" t="s">
        <v>163</v>
      </c>
      <c r="D29" s="134" t="str">
        <f>e3c</f>
        <v>La Rochelle</v>
      </c>
      <c r="E29" s="131" t="s">
        <v>27</v>
      </c>
      <c r="F29" s="132"/>
      <c r="G29" s="134">
        <v>2</v>
      </c>
      <c r="H29" s="134">
        <v>0</v>
      </c>
      <c r="I29" s="132"/>
      <c r="J29" s="131" t="s">
        <v>28</v>
      </c>
      <c r="K29" s="134" t="str">
        <f>e3d</f>
        <v>Le Puy 2</v>
      </c>
      <c r="L29" s="132"/>
      <c r="M29" s="145"/>
      <c r="N29" s="145"/>
      <c r="O29" s="144"/>
    </row>
    <row r="30" spans="1:15" s="10" customFormat="1" ht="16.5" customHeight="1" thickBot="1" thickTop="1">
      <c r="A30" s="37" t="s">
        <v>82</v>
      </c>
      <c r="B30" s="39">
        <f t="shared" si="0"/>
        <v>0.789583333333334</v>
      </c>
      <c r="C30" s="152" t="s">
        <v>164</v>
      </c>
      <c r="D30" s="134" t="str">
        <f>f3a</f>
        <v>Le Chesnay 2</v>
      </c>
      <c r="E30" s="131" t="s">
        <v>29</v>
      </c>
      <c r="F30" s="132"/>
      <c r="G30" s="134">
        <v>0</v>
      </c>
      <c r="H30" s="134">
        <v>3</v>
      </c>
      <c r="I30" s="132"/>
      <c r="J30" s="131" t="s">
        <v>30</v>
      </c>
      <c r="K30" s="134" t="str">
        <f>f3b</f>
        <v>Epernay</v>
      </c>
      <c r="L30" s="132"/>
      <c r="M30" s="142"/>
      <c r="N30" s="143"/>
      <c r="O30" s="144"/>
    </row>
    <row r="31" spans="1:15" s="10" customFormat="1" ht="14.25" thickBot="1" thickTop="1">
      <c r="A31" s="37" t="s">
        <v>82</v>
      </c>
      <c r="B31" s="39">
        <f t="shared" si="0"/>
        <v>0.808333333333334</v>
      </c>
      <c r="C31" s="135"/>
      <c r="D31" s="136"/>
      <c r="E31" s="137"/>
      <c r="F31" s="138"/>
      <c r="G31" s="136"/>
      <c r="H31" s="136"/>
      <c r="I31" s="138"/>
      <c r="J31" s="137"/>
      <c r="K31" s="136"/>
      <c r="L31" s="138"/>
      <c r="M31" s="147"/>
      <c r="N31" s="148"/>
      <c r="O31" s="148"/>
    </row>
    <row r="32" spans="1:15" s="10" customFormat="1" ht="13.5" thickTop="1">
      <c r="A32" s="102"/>
      <c r="B32" s="103"/>
      <c r="C32" s="139"/>
      <c r="D32" s="140"/>
      <c r="E32" s="141"/>
      <c r="F32" s="138"/>
      <c r="G32" s="140"/>
      <c r="H32" s="140"/>
      <c r="I32" s="138"/>
      <c r="J32" s="141"/>
      <c r="K32" s="140"/>
      <c r="L32" s="138"/>
      <c r="M32" s="147"/>
      <c r="N32" s="148"/>
      <c r="O32" s="148"/>
    </row>
    <row r="33" spans="1:15" s="10" customFormat="1" ht="13.5" thickBot="1">
      <c r="A33" s="102"/>
      <c r="B33" s="103"/>
      <c r="C33" s="139"/>
      <c r="D33" s="140"/>
      <c r="E33" s="141"/>
      <c r="F33" s="138"/>
      <c r="G33" s="140"/>
      <c r="H33" s="140"/>
      <c r="I33" s="138"/>
      <c r="J33" s="141"/>
      <c r="K33" s="140"/>
      <c r="L33" s="138"/>
      <c r="M33" s="149"/>
      <c r="N33" s="150"/>
      <c r="O33" s="150"/>
    </row>
    <row r="34" spans="1:15" s="10" customFormat="1" ht="16.5" customHeight="1" thickBot="1" thickTop="1">
      <c r="A34" s="37" t="s">
        <v>83</v>
      </c>
      <c r="B34" s="39">
        <f>HoraireMatchJ2</f>
        <v>0.3333333333333333</v>
      </c>
      <c r="C34" s="152">
        <f>C30+1</f>
        <v>23</v>
      </c>
      <c r="D34" s="134" t="str">
        <f>g2x</f>
        <v>Rennes 2</v>
      </c>
      <c r="E34" s="131" t="s">
        <v>31</v>
      </c>
      <c r="F34" s="132"/>
      <c r="G34" s="134">
        <v>1</v>
      </c>
      <c r="H34" s="134">
        <v>0</v>
      </c>
      <c r="I34" s="132"/>
      <c r="J34" s="131" t="s">
        <v>36</v>
      </c>
      <c r="K34" s="134" t="str">
        <f>g2y</f>
        <v>Saint Brieuc</v>
      </c>
      <c r="L34" s="132"/>
      <c r="M34" s="142"/>
      <c r="N34" s="143"/>
      <c r="O34" s="144"/>
    </row>
    <row r="35" spans="1:15" s="10" customFormat="1" ht="14.25" thickBot="1" thickTop="1">
      <c r="A35" s="38" t="s">
        <v>83</v>
      </c>
      <c r="B35" s="39">
        <f aca="true" t="shared" si="1" ref="B35:B54">IF(G34="f",B34,IF(H34="f",B34,B34+durée1))</f>
        <v>0.3520833333333333</v>
      </c>
      <c r="C35" s="152">
        <v>24</v>
      </c>
      <c r="D35" s="134" t="str">
        <f>g3x</f>
        <v>Brest</v>
      </c>
      <c r="E35" s="131" t="s">
        <v>32</v>
      </c>
      <c r="F35" s="132"/>
      <c r="G35" s="134">
        <v>2</v>
      </c>
      <c r="H35" s="134">
        <v>0</v>
      </c>
      <c r="I35" s="132"/>
      <c r="J35" s="131" t="s">
        <v>35</v>
      </c>
      <c r="K35" s="134" t="str">
        <f>g3y</f>
        <v>Marseille HS</v>
      </c>
      <c r="L35" s="132"/>
      <c r="M35" s="142"/>
      <c r="N35" s="144"/>
      <c r="O35" s="144"/>
    </row>
    <row r="36" spans="1:15" s="10" customFormat="1" ht="14.25" thickBot="1" thickTop="1">
      <c r="A36" s="38" t="s">
        <v>83</v>
      </c>
      <c r="B36" s="39">
        <f t="shared" si="1"/>
        <v>0.3708333333333333</v>
      </c>
      <c r="C36" s="152">
        <v>25</v>
      </c>
      <c r="D36" s="134" t="str">
        <f>e4x</f>
        <v>Hyères 2</v>
      </c>
      <c r="E36" s="131" t="s">
        <v>33</v>
      </c>
      <c r="F36" s="132"/>
      <c r="G36" s="134">
        <v>0</v>
      </c>
      <c r="H36" s="134">
        <v>2</v>
      </c>
      <c r="I36" s="132"/>
      <c r="J36" s="131" t="s">
        <v>27</v>
      </c>
      <c r="K36" s="134" t="str">
        <f>e3c</f>
        <v>La Rochelle</v>
      </c>
      <c r="L36" s="132"/>
      <c r="M36" s="142"/>
      <c r="N36" s="143"/>
      <c r="O36" s="143"/>
    </row>
    <row r="37" spans="1:15" s="10" customFormat="1" ht="14.25" thickBot="1" thickTop="1">
      <c r="A37" s="38" t="s">
        <v>83</v>
      </c>
      <c r="B37" s="39">
        <f t="shared" si="1"/>
        <v>0.3895833333333333</v>
      </c>
      <c r="C37" s="152">
        <v>26</v>
      </c>
      <c r="D37" s="134" t="str">
        <f>f4y</f>
        <v>Dinan 2</v>
      </c>
      <c r="E37" s="131" t="s">
        <v>34</v>
      </c>
      <c r="F37" s="132"/>
      <c r="G37" s="134">
        <v>3</v>
      </c>
      <c r="H37" s="134">
        <v>0</v>
      </c>
      <c r="I37" s="132"/>
      <c r="J37" s="131" t="s">
        <v>29</v>
      </c>
      <c r="K37" s="134" t="str">
        <f>f3a</f>
        <v>Le Chesnay 2</v>
      </c>
      <c r="L37" s="132"/>
      <c r="M37" s="142"/>
      <c r="N37" s="143"/>
      <c r="O37" s="143"/>
    </row>
    <row r="38" spans="1:15" s="10" customFormat="1" ht="14.25" thickBot="1" thickTop="1">
      <c r="A38" s="38" t="s">
        <v>83</v>
      </c>
      <c r="B38" s="39">
        <f t="shared" si="1"/>
        <v>0.40833333333333327</v>
      </c>
      <c r="C38" s="152">
        <v>27</v>
      </c>
      <c r="D38" s="134" t="str">
        <f>g3y</f>
        <v>Marseille HS</v>
      </c>
      <c r="E38" s="131" t="s">
        <v>35</v>
      </c>
      <c r="F38" s="132"/>
      <c r="G38" s="134">
        <v>0</v>
      </c>
      <c r="H38" s="134">
        <v>3</v>
      </c>
      <c r="I38" s="132"/>
      <c r="J38" s="131" t="s">
        <v>31</v>
      </c>
      <c r="K38" s="134" t="str">
        <f>g2x</f>
        <v>Rennes 2</v>
      </c>
      <c r="L38" s="132"/>
      <c r="M38" s="142"/>
      <c r="N38" s="143"/>
      <c r="O38" s="143"/>
    </row>
    <row r="39" spans="1:15" s="10" customFormat="1" ht="14.25" thickBot="1" thickTop="1">
      <c r="A39" s="38" t="s">
        <v>83</v>
      </c>
      <c r="B39" s="39">
        <f t="shared" si="1"/>
        <v>0.42708333333333326</v>
      </c>
      <c r="C39" s="152">
        <v>28</v>
      </c>
      <c r="D39" s="134" t="str">
        <f>g2y</f>
        <v>Saint Brieuc</v>
      </c>
      <c r="E39" s="131" t="s">
        <v>36</v>
      </c>
      <c r="F39" s="132"/>
      <c r="G39" s="134">
        <v>2</v>
      </c>
      <c r="H39" s="134">
        <v>0</v>
      </c>
      <c r="I39" s="132"/>
      <c r="J39" s="131" t="s">
        <v>32</v>
      </c>
      <c r="K39" s="134" t="str">
        <f>g3x</f>
        <v>Brest</v>
      </c>
      <c r="L39" s="132"/>
      <c r="M39" s="142"/>
      <c r="N39" s="143"/>
      <c r="O39" s="144"/>
    </row>
    <row r="40" spans="1:15" s="10" customFormat="1" ht="14.25" thickBot="1" thickTop="1">
      <c r="A40" s="38" t="s">
        <v>83</v>
      </c>
      <c r="B40" s="39">
        <f t="shared" si="1"/>
        <v>0.44583333333333325</v>
      </c>
      <c r="C40" s="152">
        <v>29</v>
      </c>
      <c r="D40" s="134" t="str">
        <f>e3d</f>
        <v>Le Puy 2</v>
      </c>
      <c r="E40" s="131" t="s">
        <v>28</v>
      </c>
      <c r="F40" s="132"/>
      <c r="G40" s="134">
        <v>1</v>
      </c>
      <c r="H40" s="134">
        <v>4</v>
      </c>
      <c r="I40" s="132"/>
      <c r="J40" s="131" t="s">
        <v>33</v>
      </c>
      <c r="K40" s="134" t="str">
        <f>e4x</f>
        <v>Hyères 2</v>
      </c>
      <c r="L40" s="132"/>
      <c r="M40" s="142"/>
      <c r="N40" s="143"/>
      <c r="O40" s="143"/>
    </row>
    <row r="41" spans="1:15" s="10" customFormat="1" ht="14.25" thickBot="1" thickTop="1">
      <c r="A41" s="38" t="s">
        <v>83</v>
      </c>
      <c r="B41" s="39">
        <f t="shared" si="1"/>
        <v>0.46458333333333324</v>
      </c>
      <c r="C41" s="152">
        <v>30</v>
      </c>
      <c r="D41" s="134" t="str">
        <f>f3b</f>
        <v>Epernay</v>
      </c>
      <c r="E41" s="131" t="s">
        <v>30</v>
      </c>
      <c r="F41" s="132"/>
      <c r="G41" s="134">
        <v>1</v>
      </c>
      <c r="H41" s="134">
        <v>2</v>
      </c>
      <c r="I41" s="132"/>
      <c r="J41" s="131" t="s">
        <v>34</v>
      </c>
      <c r="K41" s="134" t="str">
        <f>f4y</f>
        <v>Dinan 2</v>
      </c>
      <c r="L41" s="132"/>
      <c r="M41" s="142"/>
      <c r="N41" s="143"/>
      <c r="O41" s="144"/>
    </row>
    <row r="42" spans="1:15" s="10" customFormat="1" ht="14.25" thickBot="1" thickTop="1">
      <c r="A42" s="38" t="s">
        <v>83</v>
      </c>
      <c r="B42" s="39">
        <f t="shared" si="1"/>
        <v>0.4833333333333332</v>
      </c>
      <c r="C42" s="152">
        <v>31</v>
      </c>
      <c r="D42" s="134" t="str">
        <f>f1_1x</f>
        <v>Moirans 2</v>
      </c>
      <c r="E42" s="131" t="s">
        <v>37</v>
      </c>
      <c r="F42" s="132"/>
      <c r="G42" s="134">
        <v>2</v>
      </c>
      <c r="H42" s="134">
        <v>0</v>
      </c>
      <c r="I42" s="132"/>
      <c r="J42" s="131" t="s">
        <v>49</v>
      </c>
      <c r="K42" s="134" t="str">
        <f>f1_2g</f>
        <v>Saint Brieuc</v>
      </c>
      <c r="L42" s="132"/>
      <c r="M42" s="142"/>
      <c r="N42" s="143"/>
      <c r="O42" s="143"/>
    </row>
    <row r="43" spans="1:15" s="10" customFormat="1" ht="14.25" thickBot="1" thickTop="1">
      <c r="A43" s="38" t="s">
        <v>83</v>
      </c>
      <c r="B43" s="39">
        <f t="shared" si="1"/>
        <v>0.5020833333333332</v>
      </c>
      <c r="C43" s="152">
        <v>32</v>
      </c>
      <c r="D43" s="134" t="str">
        <f>f2_1y</f>
        <v>Lyon</v>
      </c>
      <c r="E43" s="131" t="s">
        <v>38</v>
      </c>
      <c r="F43" s="132"/>
      <c r="G43" s="134">
        <v>0</v>
      </c>
      <c r="H43" s="134">
        <v>2</v>
      </c>
      <c r="I43" s="132"/>
      <c r="J43" s="131" t="s">
        <v>48</v>
      </c>
      <c r="K43" s="134" t="str">
        <f>f2_1g</f>
        <v>Rennes 2</v>
      </c>
      <c r="L43" s="132"/>
      <c r="M43" s="142"/>
      <c r="N43" s="144"/>
      <c r="O43" s="143"/>
    </row>
    <row r="44" spans="1:15" s="10" customFormat="1" ht="14.25" thickBot="1" thickTop="1">
      <c r="A44" s="38" t="s">
        <v>83</v>
      </c>
      <c r="B44" s="39">
        <f t="shared" si="1"/>
        <v>0.5208333333333333</v>
      </c>
      <c r="C44" s="152">
        <v>33</v>
      </c>
      <c r="D44" s="134" t="str">
        <f>f_3e</f>
        <v>Le Puy 2</v>
      </c>
      <c r="E44" s="131" t="s">
        <v>39</v>
      </c>
      <c r="F44" s="132"/>
      <c r="G44" s="134">
        <v>1</v>
      </c>
      <c r="H44" s="134">
        <v>2</v>
      </c>
      <c r="I44" s="132"/>
      <c r="J44" s="197" t="s">
        <v>77</v>
      </c>
      <c r="K44" s="134" t="s">
        <v>258</v>
      </c>
      <c r="L44" s="132"/>
      <c r="M44" s="142"/>
      <c r="N44" s="143"/>
      <c r="O44" s="215"/>
    </row>
    <row r="45" spans="1:15" s="10" customFormat="1" ht="14.25" thickBot="1" thickTop="1">
      <c r="A45" s="38" t="s">
        <v>83</v>
      </c>
      <c r="B45" s="39">
        <f t="shared" si="1"/>
        <v>0.5395833333333333</v>
      </c>
      <c r="C45" s="152">
        <v>34</v>
      </c>
      <c r="D45" s="134" t="str">
        <f>f_2e</f>
        <v>Hyères 2</v>
      </c>
      <c r="E45" s="131" t="s">
        <v>40</v>
      </c>
      <c r="F45" s="132"/>
      <c r="G45" s="134">
        <v>2</v>
      </c>
      <c r="H45" s="134">
        <v>0</v>
      </c>
      <c r="I45" s="132"/>
      <c r="J45" s="197" t="s">
        <v>67</v>
      </c>
      <c r="K45" s="134" t="s">
        <v>248</v>
      </c>
      <c r="L45" s="132"/>
      <c r="M45" s="142"/>
      <c r="N45" s="143"/>
      <c r="O45" s="144"/>
    </row>
    <row r="46" spans="1:17" s="10" customFormat="1" ht="14.25" thickBot="1" thickTop="1">
      <c r="A46" s="38" t="s">
        <v>83</v>
      </c>
      <c r="B46" s="39">
        <f t="shared" si="1"/>
        <v>0.5583333333333333</v>
      </c>
      <c r="C46" s="152">
        <v>35</v>
      </c>
      <c r="D46" s="134" t="str">
        <f>f_4g</f>
        <v>Marseille HS</v>
      </c>
      <c r="E46" s="131" t="s">
        <v>41</v>
      </c>
      <c r="F46" s="132"/>
      <c r="G46" s="134">
        <v>0</v>
      </c>
      <c r="H46" s="134">
        <v>3</v>
      </c>
      <c r="I46" s="132"/>
      <c r="J46" s="197" t="s">
        <v>70</v>
      </c>
      <c r="K46" s="134" t="s">
        <v>249</v>
      </c>
      <c r="L46" s="132"/>
      <c r="M46" s="142"/>
      <c r="N46" s="143"/>
      <c r="O46" s="143"/>
      <c r="Q46" s="151"/>
    </row>
    <row r="47" spans="1:17" s="10" customFormat="1" ht="14.25" thickBot="1" thickTop="1">
      <c r="A47" s="38" t="s">
        <v>83</v>
      </c>
      <c r="B47" s="39">
        <f t="shared" si="1"/>
        <v>0.5770833333333334</v>
      </c>
      <c r="C47" s="152">
        <v>36</v>
      </c>
      <c r="D47" s="134" t="str">
        <f>f_3g</f>
        <v>Brest</v>
      </c>
      <c r="E47" s="131" t="s">
        <v>42</v>
      </c>
      <c r="F47" s="132"/>
      <c r="G47" s="134">
        <v>3</v>
      </c>
      <c r="H47" s="134">
        <v>1</v>
      </c>
      <c r="I47" s="132"/>
      <c r="J47" s="131" t="s">
        <v>47</v>
      </c>
      <c r="K47" s="134" t="str">
        <f>f_1e</f>
        <v>Dinan 2</v>
      </c>
      <c r="L47" s="132"/>
      <c r="M47" s="142"/>
      <c r="N47" s="144"/>
      <c r="O47" s="143"/>
      <c r="Q47" s="151"/>
    </row>
    <row r="48" spans="1:15" s="10" customFormat="1" ht="14.25" thickBot="1" thickTop="1">
      <c r="A48" s="38" t="s">
        <v>83</v>
      </c>
      <c r="B48" s="39">
        <f t="shared" si="1"/>
        <v>0.5958333333333334</v>
      </c>
      <c r="C48" s="152">
        <v>37</v>
      </c>
      <c r="D48" s="134" t="s">
        <v>248</v>
      </c>
      <c r="E48" s="131">
        <v>291</v>
      </c>
      <c r="F48" s="132"/>
      <c r="G48" s="134">
        <v>2</v>
      </c>
      <c r="H48" s="134">
        <v>1</v>
      </c>
      <c r="I48" s="132"/>
      <c r="J48" s="131">
        <v>292</v>
      </c>
      <c r="K48" s="134" t="str">
        <f>f_292</f>
        <v>Le Puy 2</v>
      </c>
      <c r="L48" s="132"/>
      <c r="M48" s="142"/>
      <c r="N48" s="144"/>
      <c r="O48" s="214"/>
    </row>
    <row r="49" spans="1:15" s="10" customFormat="1" ht="14.25" thickBot="1" thickTop="1">
      <c r="A49" s="38" t="s">
        <v>83</v>
      </c>
      <c r="B49" s="39">
        <f t="shared" si="1"/>
        <v>0.6145833333333335</v>
      </c>
      <c r="C49" s="152">
        <v>38</v>
      </c>
      <c r="D49" s="134" t="s">
        <v>245</v>
      </c>
      <c r="E49" s="131">
        <v>191</v>
      </c>
      <c r="F49" s="132"/>
      <c r="G49" s="134">
        <v>4</v>
      </c>
      <c r="H49" s="134">
        <v>0</v>
      </c>
      <c r="I49" s="132"/>
      <c r="J49" s="131">
        <v>192</v>
      </c>
      <c r="K49" s="134" t="s">
        <v>258</v>
      </c>
      <c r="L49" s="132"/>
      <c r="M49" s="142"/>
      <c r="N49" s="144"/>
      <c r="O49" s="144"/>
    </row>
    <row r="50" spans="1:15" s="10" customFormat="1" ht="14.25" thickBot="1" thickTop="1">
      <c r="A50" s="38" t="s">
        <v>83</v>
      </c>
      <c r="B50" s="39">
        <f t="shared" si="1"/>
        <v>0.6333333333333335</v>
      </c>
      <c r="C50" s="152">
        <v>39</v>
      </c>
      <c r="D50" s="134" t="str">
        <f>f_252</f>
        <v>Dinan 2</v>
      </c>
      <c r="E50" s="131">
        <v>251</v>
      </c>
      <c r="F50" s="132"/>
      <c r="G50" s="134">
        <v>3</v>
      </c>
      <c r="H50" s="134">
        <v>1</v>
      </c>
      <c r="I50" s="132"/>
      <c r="J50" s="131">
        <v>252</v>
      </c>
      <c r="K50" s="134" t="str">
        <f>f_251</f>
        <v>Marseille HS</v>
      </c>
      <c r="L50" s="132"/>
      <c r="M50" s="142"/>
      <c r="N50" s="143"/>
      <c r="O50" s="143"/>
    </row>
    <row r="51" spans="1:15" s="10" customFormat="1" ht="14.25" thickBot="1" thickTop="1">
      <c r="A51" s="38" t="s">
        <v>83</v>
      </c>
      <c r="B51" s="39">
        <f t="shared" si="1"/>
        <v>0.6520833333333336</v>
      </c>
      <c r="C51" s="152">
        <v>40</v>
      </c>
      <c r="D51" s="134" t="str">
        <f>f_152</f>
        <v>Brest</v>
      </c>
      <c r="E51" s="131">
        <v>151</v>
      </c>
      <c r="F51" s="132"/>
      <c r="G51" s="134">
        <v>3</v>
      </c>
      <c r="H51" s="134">
        <v>2</v>
      </c>
      <c r="I51" s="132"/>
      <c r="J51" s="131">
        <v>152</v>
      </c>
      <c r="K51" s="134" t="s">
        <v>249</v>
      </c>
      <c r="L51" s="132"/>
      <c r="M51" s="142"/>
      <c r="N51" s="143"/>
      <c r="O51" s="143"/>
    </row>
    <row r="52" spans="1:15" s="10" customFormat="1" ht="14.25" thickBot="1" thickTop="1">
      <c r="A52" s="38" t="s">
        <v>83</v>
      </c>
      <c r="B52" s="39">
        <f t="shared" si="1"/>
        <v>0.6708333333333336</v>
      </c>
      <c r="C52" s="152">
        <v>41</v>
      </c>
      <c r="D52" s="134" t="str">
        <f>f_2f1</f>
        <v>Saint Brieuc</v>
      </c>
      <c r="E52" s="131" t="s">
        <v>43</v>
      </c>
      <c r="F52" s="132"/>
      <c r="G52" s="134">
        <v>2</v>
      </c>
      <c r="H52" s="134">
        <v>1</v>
      </c>
      <c r="I52" s="132"/>
      <c r="J52" s="131" t="s">
        <v>46</v>
      </c>
      <c r="K52" s="134" t="str">
        <f>f_2f2</f>
        <v>Lyon</v>
      </c>
      <c r="L52" s="132"/>
      <c r="M52" s="142"/>
      <c r="N52" s="143"/>
      <c r="O52" s="143"/>
    </row>
    <row r="53" spans="1:15" s="10" customFormat="1" ht="14.25" thickBot="1" thickTop="1">
      <c r="A53" s="38" t="s">
        <v>83</v>
      </c>
      <c r="B53" s="39">
        <f t="shared" si="1"/>
        <v>0.6895833333333337</v>
      </c>
      <c r="C53" s="152">
        <v>42</v>
      </c>
      <c r="D53" s="134" t="str">
        <f>f_1f1</f>
        <v>Moirans 2</v>
      </c>
      <c r="E53" s="131" t="s">
        <v>44</v>
      </c>
      <c r="F53" s="132"/>
      <c r="G53" s="134">
        <v>2</v>
      </c>
      <c r="H53" s="134">
        <v>1</v>
      </c>
      <c r="I53" s="132"/>
      <c r="J53" s="131" t="s">
        <v>45</v>
      </c>
      <c r="K53" s="134" t="str">
        <f>f_1f2</f>
        <v>Rennes 2</v>
      </c>
      <c r="L53" s="132"/>
      <c r="M53" s="142"/>
      <c r="N53" s="143"/>
      <c r="O53" s="143"/>
    </row>
    <row r="54" spans="1:15" s="10" customFormat="1" ht="14.25" thickBot="1" thickTop="1">
      <c r="A54" s="38" t="s">
        <v>83</v>
      </c>
      <c r="B54" s="39">
        <f t="shared" si="1"/>
        <v>0.7083333333333337</v>
      </c>
      <c r="C54" s="34"/>
      <c r="D54" s="33"/>
      <c r="E54" s="33"/>
      <c r="F54" s="15"/>
      <c r="G54" s="35"/>
      <c r="H54" s="35"/>
      <c r="I54" s="15"/>
      <c r="J54" s="33"/>
      <c r="K54" s="33"/>
      <c r="L54" s="15"/>
      <c r="M54"/>
      <c r="N54"/>
      <c r="O54"/>
    </row>
    <row r="55" spans="1:19" ht="13.5" thickTop="1">
      <c r="A55" s="10"/>
      <c r="B55" s="10"/>
      <c r="C55" s="10"/>
      <c r="E55" s="10"/>
      <c r="F55" s="10"/>
      <c r="G55" s="14"/>
      <c r="H55" s="14"/>
      <c r="I55" s="10"/>
      <c r="J55" s="10"/>
      <c r="L55" s="10"/>
      <c r="P55" s="10"/>
      <c r="Q55" s="10"/>
      <c r="R55" s="10"/>
      <c r="S55" s="10"/>
    </row>
  </sheetData>
  <sheetProtection/>
  <mergeCells count="11">
    <mergeCell ref="D5:O5"/>
    <mergeCell ref="N8:O8"/>
    <mergeCell ref="M7:O7"/>
    <mergeCell ref="A5:C5"/>
    <mergeCell ref="J4:L4"/>
    <mergeCell ref="M4:O4"/>
    <mergeCell ref="I1:O1"/>
    <mergeCell ref="G2:H2"/>
    <mergeCell ref="I2:O2"/>
    <mergeCell ref="K3:O3"/>
    <mergeCell ref="B4:I4"/>
  </mergeCells>
  <printOptions horizontalCentered="1" verticalCentered="1"/>
  <pageMargins left="0.5905511811023623" right="0.31496062992125984" top="0.3937007874015748" bottom="0.4330708661417323" header="0.31496062992125984" footer="0.2755905511811024"/>
  <pageSetup fitToHeight="2" horizontalDpi="300" verticalDpi="300" orientation="landscape" paperSize="9" scale="79" r:id="rId3"/>
  <rowBreaks count="1" manualBreakCount="1">
    <brk id="33" max="17" man="1"/>
  </rowBreaks>
  <ignoredErrors>
    <ignoredError sqref="K48" unlockedFormula="1"/>
  </ignoredErrors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1:AA60"/>
  <sheetViews>
    <sheetView zoomScale="95" zoomScaleNormal="95" zoomScalePageLayoutView="0" workbookViewId="0" topLeftCell="A27">
      <selection activeCell="K47" sqref="K47"/>
    </sheetView>
  </sheetViews>
  <sheetFormatPr defaultColWidth="11.421875" defaultRowHeight="12.75"/>
  <cols>
    <col min="1" max="1" width="10.7109375" style="16" customWidth="1"/>
    <col min="2" max="2" width="4.8515625" style="16" customWidth="1"/>
    <col min="3" max="3" width="23.7109375" style="16" customWidth="1"/>
    <col min="4" max="5" width="4.8515625" style="16" customWidth="1"/>
    <col min="6" max="7" width="4.8515625" style="17" customWidth="1"/>
    <col min="8" max="10" width="4.8515625" style="16" customWidth="1"/>
    <col min="11" max="11" width="6.00390625" style="16" customWidth="1"/>
    <col min="12" max="12" width="6.140625" style="16" customWidth="1"/>
    <col min="13" max="13" width="5.7109375" style="16" customWidth="1"/>
    <col min="14" max="14" width="5.8515625" style="16" customWidth="1"/>
    <col min="15" max="15" width="6.8515625" style="16" customWidth="1"/>
    <col min="16" max="16" width="23.28125" style="16" customWidth="1"/>
    <col min="17" max="21" width="4.7109375" style="16" customWidth="1"/>
    <col min="22" max="24" width="4.57421875" style="16" customWidth="1"/>
    <col min="25" max="25" width="6.140625" style="16" customWidth="1"/>
    <col min="26" max="26" width="6.00390625" style="16" customWidth="1"/>
    <col min="27" max="27" width="8.28125" style="16" customWidth="1"/>
    <col min="28" max="16384" width="11.421875" style="16" customWidth="1"/>
  </cols>
  <sheetData>
    <row r="1" spans="6:16" s="82" customFormat="1" ht="27.75" customHeight="1">
      <c r="F1" s="83"/>
      <c r="G1" s="84" t="s">
        <v>118</v>
      </c>
      <c r="H1" s="85"/>
      <c r="I1" s="233" t="str">
        <f>saison</f>
        <v>2018-2019</v>
      </c>
      <c r="J1" s="233"/>
      <c r="K1" s="233"/>
      <c r="L1" s="233"/>
      <c r="M1" s="233"/>
      <c r="N1" s="233"/>
      <c r="O1" s="233"/>
      <c r="P1" s="233"/>
    </row>
    <row r="2" spans="6:27" s="82" customFormat="1" ht="27.75" customHeight="1">
      <c r="F2" s="83"/>
      <c r="G2" s="231" t="s">
        <v>119</v>
      </c>
      <c r="H2" s="232"/>
      <c r="I2" s="235" t="str">
        <f>lieu</f>
        <v>Saint Brieuc</v>
      </c>
      <c r="J2" s="236"/>
      <c r="K2" s="236"/>
      <c r="L2" s="236"/>
      <c r="M2" s="236"/>
      <c r="N2" s="236"/>
      <c r="O2" s="236"/>
      <c r="P2" s="237"/>
      <c r="T2" s="85"/>
      <c r="U2" s="85"/>
      <c r="V2" s="85"/>
      <c r="W2" s="85"/>
      <c r="X2" s="85"/>
      <c r="Y2" s="85"/>
      <c r="Z2" s="85"/>
      <c r="AA2" s="85"/>
    </row>
    <row r="3" spans="11:19" s="85" customFormat="1" ht="25.5" customHeight="1">
      <c r="K3" s="234" t="s">
        <v>120</v>
      </c>
      <c r="L3" s="234"/>
      <c r="M3" s="234"/>
      <c r="N3" s="234"/>
      <c r="O3" s="234"/>
      <c r="P3" s="234"/>
      <c r="Q3" s="234"/>
      <c r="R3" s="234"/>
      <c r="S3" s="234"/>
    </row>
    <row r="4" spans="1:19" s="85" customFormat="1" ht="21" customHeight="1">
      <c r="A4" s="84" t="s">
        <v>121</v>
      </c>
      <c r="C4" s="233" t="str">
        <f>date</f>
        <v>15 et 16 juin 2019</v>
      </c>
      <c r="D4" s="233"/>
      <c r="E4" s="233"/>
      <c r="F4" s="233"/>
      <c r="G4" s="233"/>
      <c r="H4" s="233"/>
      <c r="I4" s="233"/>
      <c r="J4" s="233"/>
      <c r="L4" s="231" t="s">
        <v>122</v>
      </c>
      <c r="M4" s="231"/>
      <c r="N4" s="232"/>
      <c r="O4" s="235" t="str">
        <f>catégorie</f>
        <v>Division 3 Masculine</v>
      </c>
      <c r="P4" s="236"/>
      <c r="Q4" s="236"/>
      <c r="R4" s="236"/>
      <c r="S4" s="237"/>
    </row>
    <row r="5" spans="1:24" s="82" customFormat="1" ht="18" customHeight="1">
      <c r="A5" s="86"/>
      <c r="B5" s="230" t="s">
        <v>123</v>
      </c>
      <c r="C5" s="230"/>
      <c r="D5" s="230"/>
      <c r="E5" s="238" t="str">
        <f>duréematch</f>
        <v>2*10' +2' de mi-temps +1' temps mort par  équipe +3' inter-match = 27'</v>
      </c>
      <c r="F5" s="238"/>
      <c r="G5" s="238"/>
      <c r="H5" s="238"/>
      <c r="I5" s="238"/>
      <c r="J5" s="238"/>
      <c r="K5" s="238"/>
      <c r="L5" s="238"/>
      <c r="M5" s="238"/>
      <c r="N5" s="238"/>
      <c r="O5" s="238"/>
      <c r="P5" s="238"/>
      <c r="Q5" s="238"/>
      <c r="R5" s="238"/>
      <c r="S5" s="238"/>
      <c r="T5" s="86"/>
      <c r="U5" s="86"/>
      <c r="V5" s="86"/>
      <c r="W5" s="86"/>
      <c r="X5" s="86"/>
    </row>
    <row r="6" spans="1:25" ht="15.75" customHeight="1">
      <c r="A6" s="27"/>
      <c r="B6" s="27"/>
      <c r="C6" s="27"/>
      <c r="D6" s="27"/>
      <c r="E6" s="27"/>
      <c r="F6" s="28"/>
      <c r="G6" s="28"/>
      <c r="H6" s="27"/>
      <c r="I6" s="250" t="s">
        <v>110</v>
      </c>
      <c r="J6" s="250"/>
      <c r="K6" s="250" t="s">
        <v>111</v>
      </c>
      <c r="L6" s="250"/>
      <c r="M6" s="69"/>
      <c r="N6" s="69"/>
      <c r="O6" s="27"/>
      <c r="P6" s="27"/>
      <c r="Q6" s="27"/>
      <c r="R6" s="27"/>
      <c r="S6" s="27"/>
      <c r="T6" s="28"/>
      <c r="U6" s="27"/>
      <c r="V6" s="250" t="s">
        <v>110</v>
      </c>
      <c r="W6" s="250"/>
      <c r="X6" s="250" t="s">
        <v>111</v>
      </c>
      <c r="Y6" s="250"/>
    </row>
    <row r="7" spans="2:25" ht="15.75" thickBot="1">
      <c r="B7" s="18"/>
      <c r="C7" s="18" t="s">
        <v>54</v>
      </c>
      <c r="D7" s="129">
        <v>1</v>
      </c>
      <c r="E7" s="129">
        <v>5</v>
      </c>
      <c r="F7" s="129">
        <v>9</v>
      </c>
      <c r="G7" s="68" t="s">
        <v>200</v>
      </c>
      <c r="H7" s="68" t="s">
        <v>109</v>
      </c>
      <c r="I7" s="251"/>
      <c r="J7" s="251"/>
      <c r="K7" s="251"/>
      <c r="L7" s="251"/>
      <c r="O7" s="18"/>
      <c r="P7" s="18" t="s">
        <v>55</v>
      </c>
      <c r="Q7" s="129">
        <v>2</v>
      </c>
      <c r="R7" s="129">
        <v>6</v>
      </c>
      <c r="S7" s="129">
        <v>10</v>
      </c>
      <c r="T7" s="68" t="s">
        <v>200</v>
      </c>
      <c r="U7" s="68" t="s">
        <v>109</v>
      </c>
      <c r="V7" s="251"/>
      <c r="W7" s="251"/>
      <c r="X7" s="251"/>
      <c r="Y7" s="251"/>
    </row>
    <row r="8" spans="2:25" s="116" customFormat="1" ht="15">
      <c r="B8" s="171" t="s">
        <v>7</v>
      </c>
      <c r="C8" s="198" t="str">
        <f>pa1</f>
        <v>Brest</v>
      </c>
      <c r="D8" s="117">
        <f>IF(grille!G9&lt;&gt;"",grille!G9,"")</f>
        <v>4</v>
      </c>
      <c r="E8" s="118"/>
      <c r="F8" s="117">
        <f>IF(grille!H17&lt;&gt;"",grille!H17,"")</f>
        <v>2</v>
      </c>
      <c r="G8" s="160">
        <f>CalculPointMatchs(D8,D9,F8,F10)</f>
        <v>7.999006</v>
      </c>
      <c r="H8" s="161">
        <f>IF(AND(G8&lt;&gt;"",G9&lt;&gt;"",G10&lt;&gt;""),RANK(G8,$G$8:$G$10),"")</f>
        <v>1</v>
      </c>
      <c r="I8" s="241">
        <f>SUM(D9,F10)</f>
        <v>1</v>
      </c>
      <c r="J8" s="241"/>
      <c r="K8" s="241">
        <f>SUM(D8:F8)</f>
        <v>6</v>
      </c>
      <c r="L8" s="242"/>
      <c r="M8" s="120"/>
      <c r="N8" s="121"/>
      <c r="O8" s="171" t="s">
        <v>9</v>
      </c>
      <c r="P8" s="198" t="str">
        <f>pb2</f>
        <v>Moirans 2</v>
      </c>
      <c r="Q8" s="117">
        <f>IF(grille!G10&lt;&gt;"",grille!G10,"")</f>
        <v>2</v>
      </c>
      <c r="R8" s="118"/>
      <c r="S8" s="117">
        <f>IF(grille!H18&lt;&gt;"",grille!H18,"")</f>
        <v>6</v>
      </c>
      <c r="T8" s="160">
        <f>CalculPointMatchs(Q8,Q9,S8,S10)</f>
        <v>7.999008</v>
      </c>
      <c r="U8" s="161">
        <f>IF(AND(T8&lt;&gt;"",T9&lt;&gt;"",T10&lt;&gt;""),RANK(T8,$T$8:$T$10),"")</f>
        <v>1</v>
      </c>
      <c r="V8" s="241">
        <f>SUM(Q9,S10)</f>
        <v>1</v>
      </c>
      <c r="W8" s="241"/>
      <c r="X8" s="241">
        <f>SUM(Q8:S8)</f>
        <v>8</v>
      </c>
      <c r="Y8" s="242"/>
    </row>
    <row r="9" spans="2:25" s="116" customFormat="1" ht="15">
      <c r="B9" s="172" t="s">
        <v>8</v>
      </c>
      <c r="C9" s="199" t="str">
        <f>pa5</f>
        <v>Le Chesnay 2</v>
      </c>
      <c r="D9" s="119">
        <f>IF(grille!H9&lt;&gt;"",grille!H9,"")</f>
        <v>1</v>
      </c>
      <c r="E9" s="119">
        <f>IF(grille!G13&lt;&gt;"",grille!G13,"")</f>
        <v>0</v>
      </c>
      <c r="F9" s="157"/>
      <c r="G9" s="158">
        <f>CalculPointMatchs(D9,D8,E9,E10)</f>
        <v>1.993001</v>
      </c>
      <c r="H9" s="159">
        <f>IF(AND(G8&lt;&gt;"",G9&lt;&gt;"",G10&lt;&gt;""),RANK(G9,$G$8:$G$10),"")</f>
        <v>3</v>
      </c>
      <c r="I9" s="248">
        <f>SUM(D8,E10)</f>
        <v>7</v>
      </c>
      <c r="J9" s="248"/>
      <c r="K9" s="248">
        <f>SUM(D9:F9)</f>
        <v>1</v>
      </c>
      <c r="L9" s="249"/>
      <c r="M9" s="120"/>
      <c r="N9" s="121"/>
      <c r="O9" s="172" t="s">
        <v>12</v>
      </c>
      <c r="P9" s="199" t="str">
        <f>pb6</f>
        <v>Rennes 2</v>
      </c>
      <c r="Q9" s="119">
        <f>IF(grille!H10&lt;&gt;"",grille!H10,"")</f>
        <v>1</v>
      </c>
      <c r="R9" s="119">
        <f>IF(grille!G14&lt;&gt;"",grille!G14,"")</f>
        <v>4</v>
      </c>
      <c r="S9" s="157"/>
      <c r="T9" s="158">
        <f>CalculPointMatchs(Q9,Q8,R9,R10)</f>
        <v>4.998005</v>
      </c>
      <c r="U9" s="159">
        <f>IF(AND(T8&lt;&gt;"",T9&lt;&gt;"",T10&lt;&gt;""),RANK(T9,$T$8:$T$10),"")</f>
        <v>2</v>
      </c>
      <c r="V9" s="248">
        <f>SUM(Q8,R10)</f>
        <v>2</v>
      </c>
      <c r="W9" s="248"/>
      <c r="X9" s="248">
        <f>SUM(Q9:S9)</f>
        <v>5</v>
      </c>
      <c r="Y9" s="249"/>
    </row>
    <row r="10" spans="2:25" s="116" customFormat="1" ht="15.75" thickBot="1">
      <c r="B10" s="173" t="s">
        <v>15</v>
      </c>
      <c r="C10" s="200" t="str">
        <f>pa9</f>
        <v>Hyères 2</v>
      </c>
      <c r="D10" s="162"/>
      <c r="E10" s="163">
        <f>IF(grille!H13&lt;&gt;"",grille!H13,"")</f>
        <v>3</v>
      </c>
      <c r="F10" s="164">
        <f>IF(grille!G17&lt;&gt;"",grille!G17,"")</f>
        <v>0</v>
      </c>
      <c r="G10" s="164">
        <f>CalculPointMatchs(E10,E9,F10,F8)</f>
        <v>4.998003</v>
      </c>
      <c r="H10" s="165">
        <f>IF(AND(G8&lt;&gt;"",G9&lt;&gt;"",G10&lt;&gt;""),RANK(G10,$G$8:$G$10),"")</f>
        <v>2</v>
      </c>
      <c r="I10" s="243">
        <f>SUM(E9,F8)</f>
        <v>2</v>
      </c>
      <c r="J10" s="243"/>
      <c r="K10" s="243">
        <f>SUM(D10:F10)</f>
        <v>3</v>
      </c>
      <c r="L10" s="244"/>
      <c r="M10" s="120"/>
      <c r="N10" s="121"/>
      <c r="O10" s="173" t="s">
        <v>16</v>
      </c>
      <c r="P10" s="200" t="str">
        <f>pb10</f>
        <v>Epernay</v>
      </c>
      <c r="Q10" s="162"/>
      <c r="R10" s="163">
        <f>IF(grille!H14&lt;&gt;"",grille!H14,"")</f>
        <v>0</v>
      </c>
      <c r="S10" s="164">
        <f>IF(grille!G18&lt;&gt;"",grille!G18,"")</f>
        <v>0</v>
      </c>
      <c r="T10" s="164">
        <f>CalculPointMatchs(R10,R9,S10,S8)</f>
        <v>1.99</v>
      </c>
      <c r="U10" s="165">
        <f>IF(AND(T8&lt;&gt;"",T9&lt;&gt;"",T10&lt;&gt;""),RANK(T10,$T$8:$T$10),"")</f>
        <v>3</v>
      </c>
      <c r="V10" s="243">
        <f>SUM(R9,S8)</f>
        <v>10</v>
      </c>
      <c r="W10" s="243"/>
      <c r="X10" s="243">
        <f>SUM(Q10:S10)</f>
        <v>0</v>
      </c>
      <c r="Y10" s="244"/>
    </row>
    <row r="11" spans="1:24" s="116" customFormat="1" ht="18.75" customHeight="1">
      <c r="A11" s="122"/>
      <c r="B11" s="122"/>
      <c r="C11" s="122"/>
      <c r="D11" s="122"/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122"/>
      <c r="T11" s="122"/>
      <c r="U11" s="122"/>
      <c r="V11" s="122"/>
      <c r="X11" s="123"/>
    </row>
    <row r="12" spans="2:25" s="116" customFormat="1" ht="15.75">
      <c r="B12" s="121"/>
      <c r="C12" s="121"/>
      <c r="D12" s="124"/>
      <c r="E12" s="125"/>
      <c r="F12" s="126"/>
      <c r="G12" s="127"/>
      <c r="H12" s="128"/>
      <c r="I12" s="250" t="s">
        <v>110</v>
      </c>
      <c r="J12" s="250"/>
      <c r="K12" s="250" t="s">
        <v>111</v>
      </c>
      <c r="L12" s="250"/>
      <c r="M12" s="124"/>
      <c r="N12" s="121"/>
      <c r="O12" s="121"/>
      <c r="P12" s="121"/>
      <c r="Q12" s="124"/>
      <c r="R12" s="124"/>
      <c r="S12" s="124"/>
      <c r="T12" s="127"/>
      <c r="U12" s="128"/>
      <c r="V12" s="250" t="s">
        <v>110</v>
      </c>
      <c r="W12" s="250"/>
      <c r="X12" s="250" t="s">
        <v>111</v>
      </c>
      <c r="Y12" s="250"/>
    </row>
    <row r="13" spans="2:25" s="116" customFormat="1" ht="16.5" customHeight="1" thickBot="1">
      <c r="B13" s="121"/>
      <c r="C13" s="121" t="s">
        <v>56</v>
      </c>
      <c r="D13" s="129">
        <v>3</v>
      </c>
      <c r="E13" s="129">
        <v>7</v>
      </c>
      <c r="F13" s="129">
        <v>11</v>
      </c>
      <c r="G13" s="68" t="s">
        <v>200</v>
      </c>
      <c r="H13" s="68" t="s">
        <v>109</v>
      </c>
      <c r="I13" s="251"/>
      <c r="J13" s="251"/>
      <c r="K13" s="251"/>
      <c r="L13" s="251"/>
      <c r="M13" s="124"/>
      <c r="N13" s="121"/>
      <c r="O13" s="121"/>
      <c r="P13" s="121" t="s">
        <v>57</v>
      </c>
      <c r="Q13" s="129">
        <v>4</v>
      </c>
      <c r="R13" s="129">
        <v>8</v>
      </c>
      <c r="S13" s="129">
        <v>12</v>
      </c>
      <c r="T13" s="68" t="s">
        <v>200</v>
      </c>
      <c r="U13" s="68" t="s">
        <v>109</v>
      </c>
      <c r="V13" s="251"/>
      <c r="W13" s="251"/>
      <c r="X13" s="251"/>
      <c r="Y13" s="251"/>
    </row>
    <row r="14" spans="2:25" s="116" customFormat="1" ht="15">
      <c r="B14" s="171" t="s">
        <v>10</v>
      </c>
      <c r="C14" s="198" t="str">
        <f>pc3</f>
        <v>La Rochelle</v>
      </c>
      <c r="D14" s="117">
        <f>IF(grille!G11&lt;&gt;"",grille!G11,"")</f>
        <v>1</v>
      </c>
      <c r="E14" s="118"/>
      <c r="F14" s="117">
        <f>IF(grille!H19&lt;&gt;"",grille!H19,"")</f>
        <v>2</v>
      </c>
      <c r="G14" s="160">
        <f>CalculPointMatchs(D14,D15,F14,F16)</f>
        <v>1.995003</v>
      </c>
      <c r="H14" s="161">
        <f>IF(AND(G14&lt;&gt;"",G15&lt;&gt;"",G16&lt;&gt;""),RANK(G14,$G$14:$G$16),"")</f>
        <v>3</v>
      </c>
      <c r="I14" s="241">
        <f>SUM(D15,F16)</f>
        <v>5</v>
      </c>
      <c r="J14" s="241"/>
      <c r="K14" s="241">
        <f>SUM(D14:F14)</f>
        <v>3</v>
      </c>
      <c r="L14" s="242"/>
      <c r="M14" s="120"/>
      <c r="N14" s="121"/>
      <c r="O14" s="171" t="s">
        <v>11</v>
      </c>
      <c r="P14" s="198" t="str">
        <f>pd4</f>
        <v>Dinan 2</v>
      </c>
      <c r="Q14" s="117">
        <f>IF(grille!G12&lt;&gt;"",grille!G12,"")</f>
        <v>3</v>
      </c>
      <c r="R14" s="118"/>
      <c r="S14" s="117">
        <f>IF(grille!H20&lt;&gt;"",grille!H20,"")</f>
        <v>1</v>
      </c>
      <c r="T14" s="160">
        <f>CalculPointMatchs(Q14,Q15,S14,S16)</f>
        <v>5.999004</v>
      </c>
      <c r="U14" s="161">
        <f>IF(AND(T14&lt;&gt;"",T15&lt;&gt;"",T16&lt;&gt;""),RANK(T14,$T$14:$T$16),"")</f>
        <v>2</v>
      </c>
      <c r="V14" s="241">
        <f>SUM(Q15,S16)</f>
        <v>1</v>
      </c>
      <c r="W14" s="241"/>
      <c r="X14" s="241">
        <f>SUM(Q14:S14)</f>
        <v>4</v>
      </c>
      <c r="Y14" s="242"/>
    </row>
    <row r="15" spans="2:25" s="116" customFormat="1" ht="15">
      <c r="B15" s="172" t="s">
        <v>13</v>
      </c>
      <c r="C15" s="199" t="str">
        <f>pc7</f>
        <v>Lyon</v>
      </c>
      <c r="D15" s="119">
        <f>IF(grille!H11&lt;&gt;"",grille!H11,"")</f>
        <v>2</v>
      </c>
      <c r="E15" s="119">
        <f>IF(grille!G15&lt;&gt;"",grille!G15,"")</f>
        <v>1</v>
      </c>
      <c r="F15" s="157"/>
      <c r="G15" s="158">
        <f>CalculPointMatchs(D15,D14,E15,E16)</f>
        <v>7.999003</v>
      </c>
      <c r="H15" s="159">
        <f>IF(AND(G14&lt;&gt;"",G15&lt;&gt;"",G16&lt;&gt;""),RANK(G15,$G$14:$G$16),"")</f>
        <v>1</v>
      </c>
      <c r="I15" s="248">
        <f>SUM(D14,E16)</f>
        <v>1</v>
      </c>
      <c r="J15" s="248"/>
      <c r="K15" s="248">
        <f>SUM(D15:F15)</f>
        <v>3</v>
      </c>
      <c r="L15" s="249"/>
      <c r="M15" s="120"/>
      <c r="N15" s="121"/>
      <c r="O15" s="172" t="s">
        <v>14</v>
      </c>
      <c r="P15" s="199" t="str">
        <f>pd8</f>
        <v>Le Puy 2</v>
      </c>
      <c r="Q15" s="119">
        <f>IF(grille!H12&lt;&gt;"",grille!H12,"")</f>
        <v>0</v>
      </c>
      <c r="R15" s="119">
        <f>IF(grille!G16&lt;&gt;"",grille!G16,"")</f>
        <v>0</v>
      </c>
      <c r="S15" s="157"/>
      <c r="T15" s="158">
        <f>CalculPointMatchs(Q15,Q14,R15,R16)</f>
        <v>1.993</v>
      </c>
      <c r="U15" s="159">
        <f>IF(AND(T14&lt;&gt;"",T15&lt;&gt;"",T16&lt;&gt;""),RANK(T15,$T$14:$T$16),"")</f>
        <v>3</v>
      </c>
      <c r="V15" s="248">
        <f>SUM(Q14,R16)</f>
        <v>7</v>
      </c>
      <c r="W15" s="248"/>
      <c r="X15" s="248">
        <f>SUM(Q15:S15)</f>
        <v>0</v>
      </c>
      <c r="Y15" s="249"/>
    </row>
    <row r="16" spans="2:25" s="116" customFormat="1" ht="15.75" thickBot="1">
      <c r="B16" s="173" t="s">
        <v>17</v>
      </c>
      <c r="C16" s="200" t="str">
        <f>pc11</f>
        <v>Saint Brieuc</v>
      </c>
      <c r="D16" s="162"/>
      <c r="E16" s="163">
        <f>IF(grille!H15&lt;&gt;"",grille!H15,"")</f>
        <v>0</v>
      </c>
      <c r="F16" s="164">
        <f>IF(grille!G19&lt;&gt;"",grille!G19,"")</f>
        <v>3</v>
      </c>
      <c r="G16" s="164">
        <f>CalculPointMatchs(E16,E15,F16,F14)</f>
        <v>4.997003</v>
      </c>
      <c r="H16" s="165">
        <f>IF(AND(G14&lt;&gt;"",G15&lt;&gt;"",G16&lt;&gt;""),RANK(G16,$G$14:$G$16),"")</f>
        <v>2</v>
      </c>
      <c r="I16" s="243">
        <f>SUM(E15,F14)</f>
        <v>3</v>
      </c>
      <c r="J16" s="243"/>
      <c r="K16" s="243">
        <f>SUM(D16:F16)</f>
        <v>3</v>
      </c>
      <c r="L16" s="244"/>
      <c r="M16" s="120"/>
      <c r="N16" s="121"/>
      <c r="O16" s="173" t="s">
        <v>18</v>
      </c>
      <c r="P16" s="200" t="str">
        <f>pd12</f>
        <v>Marseille HS</v>
      </c>
      <c r="Q16" s="162"/>
      <c r="R16" s="163">
        <f>IF(grille!H16&lt;&gt;"",grille!H16,"")</f>
        <v>4</v>
      </c>
      <c r="S16" s="164">
        <f>IF(grille!G20&lt;&gt;"",grille!G20,"")</f>
        <v>1</v>
      </c>
      <c r="T16" s="164">
        <f>CalculPointMatchs(R16,R15,S16,S14)</f>
        <v>5.999005</v>
      </c>
      <c r="U16" s="165">
        <f>IF(AND(T14&lt;&gt;"",T15&lt;&gt;"",T16&lt;&gt;""),RANK(T16,$T$14:$T$16),"")</f>
        <v>1</v>
      </c>
      <c r="V16" s="243">
        <f>SUM(R15,S14)</f>
        <v>1</v>
      </c>
      <c r="W16" s="243"/>
      <c r="X16" s="243">
        <f>SUM(Q16:S16)</f>
        <v>5</v>
      </c>
      <c r="Y16" s="244"/>
    </row>
    <row r="17" spans="2:25" s="116" customFormat="1" ht="18" customHeight="1">
      <c r="B17" s="186"/>
      <c r="C17" s="186"/>
      <c r="D17" s="186"/>
      <c r="E17" s="186"/>
      <c r="F17" s="186"/>
      <c r="G17" s="186"/>
      <c r="H17" s="186"/>
      <c r="I17" s="186"/>
      <c r="J17" s="186"/>
      <c r="K17" s="186"/>
      <c r="L17" s="186"/>
      <c r="M17" s="186"/>
      <c r="N17" s="186"/>
      <c r="O17" s="186"/>
      <c r="P17" s="186"/>
      <c r="Q17" s="186"/>
      <c r="R17" s="186"/>
      <c r="S17" s="186"/>
      <c r="T17" s="186"/>
      <c r="U17" s="186"/>
      <c r="V17" s="186"/>
      <c r="W17" s="186"/>
      <c r="X17" s="186"/>
      <c r="Y17" s="186"/>
    </row>
    <row r="18" spans="2:26" ht="15.75" customHeight="1">
      <c r="B18" s="18"/>
      <c r="C18" s="18"/>
      <c r="D18" s="31"/>
      <c r="E18" s="31"/>
      <c r="F18" s="19"/>
      <c r="G18" s="19"/>
      <c r="H18" s="31"/>
      <c r="I18" s="31"/>
      <c r="J18" s="31"/>
      <c r="K18" s="31"/>
      <c r="L18" s="239" t="s">
        <v>110</v>
      </c>
      <c r="M18" s="240" t="s">
        <v>111</v>
      </c>
      <c r="O18" s="18"/>
      <c r="P18" s="18"/>
      <c r="Q18" s="31"/>
      <c r="R18" s="31"/>
      <c r="S18" s="31"/>
      <c r="T18" s="31"/>
      <c r="U18" s="31"/>
      <c r="V18" s="31"/>
      <c r="W18" s="31"/>
      <c r="X18" s="31"/>
      <c r="Y18" s="239" t="s">
        <v>110</v>
      </c>
      <c r="Z18" s="240" t="s">
        <v>111</v>
      </c>
    </row>
    <row r="19" spans="2:26" ht="15.75" thickBot="1">
      <c r="B19" s="18"/>
      <c r="C19" s="18" t="s">
        <v>59</v>
      </c>
      <c r="D19" s="129"/>
      <c r="E19" s="129"/>
      <c r="F19" s="129">
        <v>13</v>
      </c>
      <c r="G19" s="129">
        <v>14</v>
      </c>
      <c r="H19" s="129">
        <v>17</v>
      </c>
      <c r="I19" s="129">
        <v>18</v>
      </c>
      <c r="J19" s="68" t="s">
        <v>200</v>
      </c>
      <c r="K19" s="68" t="s">
        <v>109</v>
      </c>
      <c r="L19" s="239"/>
      <c r="M19" s="239"/>
      <c r="O19" s="18"/>
      <c r="P19" s="18" t="s">
        <v>58</v>
      </c>
      <c r="Q19" s="129"/>
      <c r="R19" s="129"/>
      <c r="S19" s="129">
        <v>15</v>
      </c>
      <c r="T19" s="129">
        <v>16</v>
      </c>
      <c r="U19" s="129">
        <v>19</v>
      </c>
      <c r="V19" s="129">
        <v>20</v>
      </c>
      <c r="W19" s="68" t="s">
        <v>200</v>
      </c>
      <c r="X19" s="68" t="s">
        <v>109</v>
      </c>
      <c r="Y19" s="239"/>
      <c r="Z19" s="239"/>
    </row>
    <row r="20" spans="2:26" ht="15">
      <c r="B20" s="174" t="s">
        <v>19</v>
      </c>
      <c r="C20" s="175" t="str">
        <f>_xlfn.IFERROR(INDEX(C8:C10,MATCH(1,H8:H10,0)),"")</f>
        <v>Brest</v>
      </c>
      <c r="D20" s="187">
        <v>2</v>
      </c>
      <c r="E20" s="188"/>
      <c r="F20" s="24">
        <f>IF(grille!G21&lt;&gt;"",grille!G21,"")</f>
        <v>0</v>
      </c>
      <c r="G20" s="104"/>
      <c r="H20" s="24">
        <f>IF(grille!H25&lt;&gt;"",grille!H25,"")</f>
        <v>2</v>
      </c>
      <c r="I20" s="104"/>
      <c r="J20" s="24">
        <f>CalculPointMatchs(D20,D21,F20,F22,H20,H23)</f>
        <v>5.990004</v>
      </c>
      <c r="K20" s="168">
        <f>IF(AND(J20&lt;&gt;"",J21&lt;&gt;"",J22&lt;&gt;"",J23&lt;&gt;""),RANK(J20,J$20:J$23),"")</f>
        <v>3</v>
      </c>
      <c r="L20" s="176">
        <f>SUM(D21,F22,H23)</f>
        <v>10</v>
      </c>
      <c r="M20" s="177">
        <f>SUM(D20:I20)</f>
        <v>4</v>
      </c>
      <c r="O20" s="174" t="s">
        <v>21</v>
      </c>
      <c r="P20" s="175" t="str">
        <f>_xlfn.IFERROR(INDEX(C14:C16,MATCH(1,H14:H16,0)),"")</f>
        <v>Lyon</v>
      </c>
      <c r="Q20" s="187">
        <v>1</v>
      </c>
      <c r="R20" s="188"/>
      <c r="S20" s="24">
        <f>IF(grille!G23&lt;&gt;"",grille!G23,"")</f>
        <v>1</v>
      </c>
      <c r="T20" s="104"/>
      <c r="U20" s="24">
        <f>IF(grille!H27&lt;&gt;"",grille!H27,"")</f>
        <v>2</v>
      </c>
      <c r="V20" s="104"/>
      <c r="W20" s="24">
        <f>CalculPointMatchs(Q20,Q21,S20,S22,U20,U23)</f>
        <v>9.998004</v>
      </c>
      <c r="X20" s="168">
        <f>IF(AND(W20&lt;&gt;"",W21&lt;&gt;"",W22&lt;&gt;"",W23&lt;&gt;""),RANK(W20,W$20:W$23),"")</f>
        <v>1</v>
      </c>
      <c r="Y20" s="176">
        <f>SUM(Q21,S22,U23)</f>
        <v>2</v>
      </c>
      <c r="Z20" s="177">
        <f>SUM(Q20:V20)</f>
        <v>4</v>
      </c>
    </row>
    <row r="21" spans="2:26" ht="15">
      <c r="B21" s="178" t="s">
        <v>20</v>
      </c>
      <c r="C21" s="25" t="str">
        <f>_xlfn.IFERROR(INDEX(C8:C10,MATCH(2,H8:H10,0)),"")</f>
        <v>Hyères 2</v>
      </c>
      <c r="D21" s="189">
        <v>0</v>
      </c>
      <c r="E21" s="190"/>
      <c r="F21" s="166"/>
      <c r="G21" s="25">
        <f>IF(grille!G22&lt;&gt;"",grille!G22,"")</f>
        <v>2</v>
      </c>
      <c r="H21" s="166"/>
      <c r="I21" s="25">
        <f>IF(grille!H26&lt;&gt;"",grille!H26,"")</f>
        <v>0</v>
      </c>
      <c r="J21" s="25">
        <f>CalculPointMatchs(D21,D20,G21,G23,I21,I22)</f>
        <v>3.992002</v>
      </c>
      <c r="K21" s="167">
        <f>IF(AND(J20&lt;&gt;"",J21&lt;&gt;"",J22&lt;&gt;"",J23&lt;&gt;""),RANK(J21,J$20:J$23),"")</f>
        <v>4</v>
      </c>
      <c r="L21" s="179">
        <f>SUM(D20,G23,I22)</f>
        <v>8</v>
      </c>
      <c r="M21" s="180">
        <f>SUM(D21:I21)</f>
        <v>2</v>
      </c>
      <c r="O21" s="178" t="s">
        <v>22</v>
      </c>
      <c r="P21" s="30" t="str">
        <f>_xlfn.IFERROR(INDEX(C14:C16,MATCH(2,H14:H16,0)),"")</f>
        <v>Saint Brieuc</v>
      </c>
      <c r="Q21" s="189">
        <v>0</v>
      </c>
      <c r="R21" s="190"/>
      <c r="S21" s="166"/>
      <c r="T21" s="25">
        <f>IF(grille!G24&lt;&gt;"",grille!G24,"")</f>
        <v>6</v>
      </c>
      <c r="U21" s="166"/>
      <c r="V21" s="25">
        <f>IF(grille!H28&lt;&gt;"",grille!H28,"")</f>
        <v>4</v>
      </c>
      <c r="W21" s="25">
        <f>CalculPointMatchs(Q21,Q20,T21,T23,V21,V22)</f>
        <v>8.99601</v>
      </c>
      <c r="X21" s="167">
        <f>IF(AND(W20&lt;&gt;"",W21&lt;&gt;"",W22&lt;&gt;"",W23&lt;&gt;""),RANK(W21,W$20:W$23),"")</f>
        <v>2</v>
      </c>
      <c r="Y21" s="179">
        <f>SUM(Q20,T23,V22)</f>
        <v>4</v>
      </c>
      <c r="Z21" s="180">
        <f>SUM(Q21:V21)</f>
        <v>10</v>
      </c>
    </row>
    <row r="22" spans="2:26" ht="15">
      <c r="B22" s="178" t="s">
        <v>24</v>
      </c>
      <c r="C22" s="30" t="str">
        <f>_xlfn.IFERROR(INDEX(P8:P10,MATCH(1,U8:U10,0)),"")</f>
        <v>Moirans 2</v>
      </c>
      <c r="D22" s="190"/>
      <c r="E22" s="189">
        <v>2</v>
      </c>
      <c r="F22" s="25">
        <f>IF(grille!H21&lt;&gt;"",grille!H21,"")</f>
        <v>5</v>
      </c>
      <c r="G22" s="166"/>
      <c r="H22" s="166"/>
      <c r="I22" s="25">
        <f>IF(grille!G26&lt;&gt;"",grille!G26,"")</f>
        <v>4</v>
      </c>
      <c r="J22" s="25">
        <f>CalculPointMatchs(E22,E23,F22,F20,I22,I21)</f>
        <v>11.999011</v>
      </c>
      <c r="K22" s="167">
        <f>IF(AND(J20&lt;&gt;"",J21&lt;&gt;"",J22&lt;&gt;"",J23&lt;&gt;""),RANK(J22,J$20:J$23),"")</f>
        <v>1</v>
      </c>
      <c r="L22" s="179">
        <f>SUM(E23,F20,I21)</f>
        <v>1</v>
      </c>
      <c r="M22" s="180">
        <f>SUM(D22:I22)</f>
        <v>11</v>
      </c>
      <c r="O22" s="178" t="s">
        <v>26</v>
      </c>
      <c r="P22" s="30" t="str">
        <f>_xlfn.IFERROR(INDEX(P14:P16,MATCH(1,U14:U16,0)),"")</f>
        <v>Marseille HS</v>
      </c>
      <c r="Q22" s="190"/>
      <c r="R22" s="189">
        <v>1</v>
      </c>
      <c r="S22" s="25">
        <f>IF(grille!H23&lt;&gt;"",grille!H23,"")</f>
        <v>1</v>
      </c>
      <c r="T22" s="166"/>
      <c r="U22" s="166"/>
      <c r="V22" s="25">
        <f>IF(grille!G28&lt;&gt;"",grille!G28,"")</f>
        <v>2</v>
      </c>
      <c r="W22" s="25">
        <f>CalculPointMatchs(R22,R23,S22,S20,V22,V21)</f>
        <v>4.994004</v>
      </c>
      <c r="X22" s="167">
        <f>IF(AND(W20&lt;&gt;"",W21&lt;&gt;"",W22&lt;&gt;"",W23&lt;&gt;""),RANK(W22,W$20:W$23),"")</f>
        <v>3</v>
      </c>
      <c r="Y22" s="179">
        <f>SUM(R23,S20,V21)</f>
        <v>6</v>
      </c>
      <c r="Z22" s="180">
        <f>SUM(Q22:V22)</f>
        <v>4</v>
      </c>
    </row>
    <row r="23" spans="2:26" ht="15.75" thickBot="1">
      <c r="B23" s="181" t="s">
        <v>23</v>
      </c>
      <c r="C23" s="32" t="str">
        <f>_xlfn.IFERROR(INDEX(P8:P10,MATCH(2,U8:U10,0)),"")</f>
        <v>Rennes 2</v>
      </c>
      <c r="D23" s="191"/>
      <c r="E23" s="192">
        <v>1</v>
      </c>
      <c r="F23" s="169"/>
      <c r="G23" s="26">
        <f>IF(grille!H22&lt;&gt;"",grille!H22,"")</f>
        <v>2</v>
      </c>
      <c r="H23" s="26">
        <f>IF(grille!G25&lt;&gt;"",grille!G25,"")</f>
        <v>5</v>
      </c>
      <c r="I23" s="169"/>
      <c r="J23" s="26">
        <f>CalculPointMatchs(E23,E22,G23,G21,H23,H20)</f>
        <v>6.994008</v>
      </c>
      <c r="K23" s="170">
        <f>IF(AND(J20&lt;&gt;"",J21&lt;&gt;"",J22&lt;&gt;"",J23&lt;&gt;""),RANK(J23,J$20:J$23),"")</f>
        <v>2</v>
      </c>
      <c r="L23" s="182">
        <f>SUM(E22,G21,H20)</f>
        <v>6</v>
      </c>
      <c r="M23" s="183">
        <f>SUM(D23:I23)</f>
        <v>8</v>
      </c>
      <c r="O23" s="181" t="s">
        <v>25</v>
      </c>
      <c r="P23" s="32" t="str">
        <f>_xlfn.IFERROR(INDEX(P14:P16,MATCH(2,U14:U16,0)),"")</f>
        <v>Dinan 2</v>
      </c>
      <c r="Q23" s="191"/>
      <c r="R23" s="192">
        <v>1</v>
      </c>
      <c r="S23" s="169"/>
      <c r="T23" s="26">
        <f>IF(grille!H24&lt;&gt;"",grille!H24,"")</f>
        <v>1</v>
      </c>
      <c r="U23" s="26">
        <f>IF(grille!G27&lt;&gt;"",grille!G27,"")</f>
        <v>1</v>
      </c>
      <c r="V23" s="169"/>
      <c r="W23" s="26">
        <f>CalculPointMatchs(R23,R22,T23,T21,U23,U20)</f>
        <v>3.991003</v>
      </c>
      <c r="X23" s="170">
        <f>IF(AND(W20&lt;&gt;"",W21&lt;&gt;"",W22&lt;&gt;"",W23&lt;&gt;""),RANK(W23,W$20:W$23),"")</f>
        <v>4</v>
      </c>
      <c r="Y23" s="182">
        <f>SUM(R22,T21,U20)</f>
        <v>9</v>
      </c>
      <c r="Z23" s="183">
        <f>SUM(Q23:V23)</f>
        <v>3</v>
      </c>
    </row>
    <row r="24" spans="6:7" ht="15">
      <c r="F24" s="16"/>
      <c r="G24" s="16"/>
    </row>
    <row r="25" spans="2:26" ht="15.75" customHeight="1">
      <c r="B25" s="18"/>
      <c r="C25" s="18"/>
      <c r="D25" s="31"/>
      <c r="E25" s="31"/>
      <c r="F25" s="19"/>
      <c r="G25" s="19"/>
      <c r="H25" s="31"/>
      <c r="I25" s="250" t="s">
        <v>110</v>
      </c>
      <c r="J25" s="250"/>
      <c r="K25" s="250" t="s">
        <v>111</v>
      </c>
      <c r="L25" s="250"/>
      <c r="M25" s="31"/>
      <c r="N25" s="18"/>
      <c r="O25" s="18"/>
      <c r="P25" s="18"/>
      <c r="Q25" s="31"/>
      <c r="R25" s="31"/>
      <c r="S25" s="31"/>
      <c r="T25" s="31"/>
      <c r="U25" s="31"/>
      <c r="V25" s="31"/>
      <c r="W25" s="31"/>
      <c r="X25" s="31"/>
      <c r="Y25" s="239" t="s">
        <v>110</v>
      </c>
      <c r="Z25" s="240" t="s">
        <v>111</v>
      </c>
    </row>
    <row r="26" spans="2:26" ht="16.5" customHeight="1" thickBot="1">
      <c r="B26" s="18"/>
      <c r="C26" s="18" t="s">
        <v>60</v>
      </c>
      <c r="D26" s="129">
        <v>21</v>
      </c>
      <c r="E26" s="129">
        <v>25</v>
      </c>
      <c r="F26" s="129">
        <v>29</v>
      </c>
      <c r="G26" s="68" t="s">
        <v>200</v>
      </c>
      <c r="H26" s="68" t="s">
        <v>109</v>
      </c>
      <c r="I26" s="251"/>
      <c r="J26" s="251"/>
      <c r="K26" s="251"/>
      <c r="L26" s="251"/>
      <c r="N26" s="18"/>
      <c r="O26" s="18"/>
      <c r="P26" s="18" t="s">
        <v>64</v>
      </c>
      <c r="Q26" s="129"/>
      <c r="R26" s="129"/>
      <c r="S26" s="129">
        <v>23</v>
      </c>
      <c r="T26" s="129">
        <v>24</v>
      </c>
      <c r="U26" s="129">
        <v>27</v>
      </c>
      <c r="V26" s="129">
        <v>28</v>
      </c>
      <c r="W26" s="68" t="s">
        <v>200</v>
      </c>
      <c r="X26" s="68" t="s">
        <v>109</v>
      </c>
      <c r="Y26" s="239"/>
      <c r="Z26" s="239"/>
    </row>
    <row r="27" spans="2:26" ht="15">
      <c r="B27" s="174" t="s">
        <v>33</v>
      </c>
      <c r="C27" s="175" t="str">
        <f>_xlfn.IFERROR(INDEX(C20:C23,MATCH(4,K20:K23,0)),"")</f>
        <v>Hyères 2</v>
      </c>
      <c r="D27" s="104"/>
      <c r="E27" s="24">
        <f>IF(grille!G36&lt;&gt;"",grille!G36,"")</f>
        <v>0</v>
      </c>
      <c r="F27" s="24">
        <f>IF(grille!H40&lt;&gt;"",grille!H40,"")</f>
        <v>4</v>
      </c>
      <c r="G27" s="160">
        <f>CalculPointMatchs(E27,E28,F27,F29)</f>
        <v>4.997004</v>
      </c>
      <c r="H27" s="161">
        <f>IF(AND(G27&lt;&gt;"",G28&lt;&gt;"",G29&lt;&gt;""),RANK(G27,$G$27:$G$29),"")</f>
        <v>2</v>
      </c>
      <c r="I27" s="241">
        <f>SUM(E28,F29)</f>
        <v>3</v>
      </c>
      <c r="J27" s="241"/>
      <c r="K27" s="241">
        <f>SUM(D27:F27)</f>
        <v>4</v>
      </c>
      <c r="L27" s="242"/>
      <c r="N27" s="18"/>
      <c r="O27" s="174" t="s">
        <v>31</v>
      </c>
      <c r="P27" s="175" t="str">
        <f>_xlfn.IFERROR(INDEX(C20:C23,MATCH(2,K20:K23,0)),"")</f>
        <v>Rennes 2</v>
      </c>
      <c r="Q27" s="187">
        <v>5</v>
      </c>
      <c r="R27" s="188"/>
      <c r="S27" s="24">
        <f>IF(grille!G34&lt;&gt;"",grille!G34,"")</f>
        <v>1</v>
      </c>
      <c r="T27" s="104"/>
      <c r="U27" s="24">
        <f>IF(grille!H38&lt;&gt;"",grille!H38,"")</f>
        <v>3</v>
      </c>
      <c r="V27" s="104"/>
      <c r="W27" s="24">
        <f>CalculPointMatchs(Q27,Q28,S27,S29,U27,U30)</f>
        <v>11.998009</v>
      </c>
      <c r="X27" s="168">
        <f>IF(AND(W27&lt;&gt;"",W28&lt;&gt;"",W29&lt;&gt;"",W30&lt;&gt;""),RANK(W27,W$27:W$30),"")</f>
        <v>1</v>
      </c>
      <c r="Y27" s="176">
        <f>SUM(Q28,S29,U30)</f>
        <v>2</v>
      </c>
      <c r="Z27" s="177">
        <f>SUM(Q27:V27)</f>
        <v>9</v>
      </c>
    </row>
    <row r="28" spans="2:26" ht="15">
      <c r="B28" s="178" t="s">
        <v>27</v>
      </c>
      <c r="C28" s="30" t="str">
        <f>_xlfn.IFERROR(INDEX(C14:C16,MATCH(3,H14:H16,0)),"")</f>
        <v>La Rochelle</v>
      </c>
      <c r="D28" s="30">
        <f>IF(grille!G29&lt;&gt;"",grille!G29,"")</f>
        <v>2</v>
      </c>
      <c r="E28" s="25">
        <f>IF(grille!H36&lt;&gt;"",grille!H36,"")</f>
        <v>2</v>
      </c>
      <c r="F28" s="166"/>
      <c r="G28" s="158">
        <f>CalculPointMatchs(D28,D29,E28,E27)</f>
        <v>8.000004</v>
      </c>
      <c r="H28" s="159">
        <f>IF(AND(G27&lt;&gt;"",G28&lt;&gt;"",G29&lt;&gt;""),RANK(G28,$G$27:$G$29),"")</f>
        <v>1</v>
      </c>
      <c r="I28" s="248">
        <f>SUM(D29,E27)</f>
        <v>0</v>
      </c>
      <c r="J28" s="248"/>
      <c r="K28" s="248">
        <f>SUM(D28:F28)</f>
        <v>4</v>
      </c>
      <c r="L28" s="249"/>
      <c r="N28" s="18"/>
      <c r="O28" s="178" t="s">
        <v>32</v>
      </c>
      <c r="P28" s="30" t="str">
        <f>_xlfn.IFERROR(INDEX(C20:C23,MATCH(3,K20:K23,0)),"")</f>
        <v>Brest</v>
      </c>
      <c r="Q28" s="189">
        <v>2</v>
      </c>
      <c r="R28" s="190"/>
      <c r="S28" s="166"/>
      <c r="T28" s="25">
        <f>IF(grille!G35&lt;&gt;"",grille!G35,"")</f>
        <v>2</v>
      </c>
      <c r="U28" s="166"/>
      <c r="V28" s="25">
        <f>IF(grille!H39&lt;&gt;"",grille!H39,"")</f>
        <v>0</v>
      </c>
      <c r="W28" s="25">
        <f>CalculPointMatchs(Q28,Q27,T28,T30,V28,V29)</f>
        <v>5.993004</v>
      </c>
      <c r="X28" s="167">
        <f>IF(AND(W27&lt;&gt;"",W28&lt;&gt;"",W29&lt;&gt;"",W30&lt;&gt;""),RANK(W28,W$27:W$30),"")</f>
        <v>3</v>
      </c>
      <c r="Y28" s="179">
        <f>SUM(Q27,T30,V29)</f>
        <v>7</v>
      </c>
      <c r="Z28" s="180">
        <f>SUM(Q28:V28)</f>
        <v>4</v>
      </c>
    </row>
    <row r="29" spans="2:26" ht="15.75" thickBot="1">
      <c r="B29" s="181" t="s">
        <v>28</v>
      </c>
      <c r="C29" s="32" t="str">
        <f>_xlfn.IFERROR(INDEX(P14:P16,MATCH(3,U14:U16,0)),"")</f>
        <v>Le Puy 2</v>
      </c>
      <c r="D29" s="32">
        <f>IF(grille!H29&lt;&gt;"",grille!H29,"")</f>
        <v>0</v>
      </c>
      <c r="E29" s="169"/>
      <c r="F29" s="26">
        <f>IF(grille!G40&lt;&gt;"",grille!G40,"")</f>
        <v>1</v>
      </c>
      <c r="G29" s="164">
        <f>CalculPointMatchs(D29,D28,F29,F27)</f>
        <v>1.994001</v>
      </c>
      <c r="H29" s="165">
        <f>IF(AND(G27&lt;&gt;"",G28&lt;&gt;"",G29&lt;&gt;""),RANK(G29,$G$27:$G$29),"")</f>
        <v>3</v>
      </c>
      <c r="I29" s="243">
        <f>SUM(D28,F27)</f>
        <v>6</v>
      </c>
      <c r="J29" s="243"/>
      <c r="K29" s="243">
        <f>SUM(D29:F29)</f>
        <v>1</v>
      </c>
      <c r="L29" s="244"/>
      <c r="N29" s="18"/>
      <c r="O29" s="178" t="s">
        <v>36</v>
      </c>
      <c r="P29" s="30" t="str">
        <f>_xlfn.IFERROR(INDEX(P20:P23,MATCH(2,X20:X23,0)),"")</f>
        <v>Saint Brieuc</v>
      </c>
      <c r="Q29" s="190"/>
      <c r="R29" s="189">
        <v>4</v>
      </c>
      <c r="S29" s="25">
        <f>IF(grille!H34&lt;&gt;"",grille!H34,"")</f>
        <v>0</v>
      </c>
      <c r="T29" s="166"/>
      <c r="U29" s="166"/>
      <c r="V29" s="25">
        <f>IF(grille!G39&lt;&gt;"",grille!G39,"")</f>
        <v>2</v>
      </c>
      <c r="W29" s="25">
        <f>CalculPointMatchs(R29,R30,S29,S27,V29,V28)</f>
        <v>8.997006</v>
      </c>
      <c r="X29" s="167">
        <f>IF(AND(W27&lt;&gt;"",W28&lt;&gt;"",W29&lt;&gt;"",W30&lt;&gt;""),RANK(W29,W$27:W$30),"")</f>
        <v>2</v>
      </c>
      <c r="Y29" s="179">
        <f>SUM(R30,S27,V28)</f>
        <v>3</v>
      </c>
      <c r="Z29" s="180">
        <f>SUM(Q29:V29)</f>
        <v>6</v>
      </c>
    </row>
    <row r="30" spans="2:26" ht="16.5" thickBot="1">
      <c r="B30" s="18"/>
      <c r="C30" s="18"/>
      <c r="D30" s="31"/>
      <c r="E30" s="31"/>
      <c r="F30" s="19"/>
      <c r="G30" s="19"/>
      <c r="H30" s="31"/>
      <c r="I30" s="240" t="s">
        <v>110</v>
      </c>
      <c r="J30" s="240"/>
      <c r="K30" s="240" t="s">
        <v>111</v>
      </c>
      <c r="L30" s="240"/>
      <c r="M30" s="31"/>
      <c r="N30" s="18"/>
      <c r="O30" s="181" t="s">
        <v>35</v>
      </c>
      <c r="P30" s="32" t="str">
        <f>_xlfn.IFERROR(INDEX(P20:P23,MATCH(3,X20:X23,0)),"")</f>
        <v>Marseille HS</v>
      </c>
      <c r="Q30" s="191"/>
      <c r="R30" s="192">
        <v>2</v>
      </c>
      <c r="S30" s="169"/>
      <c r="T30" s="26">
        <f>IF(grille!H35&lt;&gt;"",grille!H35,"")</f>
        <v>0</v>
      </c>
      <c r="U30" s="26">
        <f>IF(grille!G38&lt;&gt;"",grille!G38,"")</f>
        <v>0</v>
      </c>
      <c r="V30" s="169"/>
      <c r="W30" s="26">
        <f>CalculPointMatchs(R30,R29,T30,T28,U30,U27)</f>
        <v>2.991002</v>
      </c>
      <c r="X30" s="170">
        <f>IF(AND(W27&lt;&gt;"",W28&lt;&gt;"",W29&lt;&gt;"",W30&lt;&gt;""),RANK(W30,W$27:W$30),"")</f>
        <v>4</v>
      </c>
      <c r="Y30" s="182">
        <f>SUM(R29,T28,U27)</f>
        <v>9</v>
      </c>
      <c r="Z30" s="183">
        <f>SUM(Q30:V30)</f>
        <v>2</v>
      </c>
    </row>
    <row r="31" spans="2:24" ht="15.75" thickBot="1">
      <c r="B31" s="18"/>
      <c r="C31" s="18" t="s">
        <v>61</v>
      </c>
      <c r="D31" s="129">
        <v>22</v>
      </c>
      <c r="E31" s="129">
        <v>26</v>
      </c>
      <c r="F31" s="129">
        <v>30</v>
      </c>
      <c r="G31" s="68" t="s">
        <v>200</v>
      </c>
      <c r="H31" s="68" t="s">
        <v>109</v>
      </c>
      <c r="I31" s="239"/>
      <c r="J31" s="239"/>
      <c r="K31" s="239"/>
      <c r="L31" s="239"/>
      <c r="M31" s="31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</row>
    <row r="32" spans="2:24" ht="16.5" thickBot="1">
      <c r="B32" s="174" t="s">
        <v>34</v>
      </c>
      <c r="C32" s="175" t="str">
        <f>_xlfn.IFERROR(INDEX(P20:P23,MATCH(4,X20:X23,0)),"")</f>
        <v>Dinan 2</v>
      </c>
      <c r="D32" s="104"/>
      <c r="E32" s="24">
        <f>IF(grille!G37&lt;&gt;"",grille!G37,"")</f>
        <v>3</v>
      </c>
      <c r="F32" s="24">
        <f>IF(grille!H41&lt;&gt;"",grille!H41,"")</f>
        <v>2</v>
      </c>
      <c r="G32" s="160">
        <f>CalculPointMatchs(E32,E33,F32,F34)</f>
        <v>7.999005</v>
      </c>
      <c r="H32" s="161">
        <f>IF(AND(G32&lt;&gt;"",G33&lt;&gt;"",G34&lt;&gt;""),RANK(G32,$G$32:$G$34),"")</f>
        <v>1</v>
      </c>
      <c r="I32" s="241">
        <f>SUM(E33,F34)</f>
        <v>1</v>
      </c>
      <c r="J32" s="241"/>
      <c r="K32" s="241">
        <f>SUM(D32:F32)</f>
        <v>5</v>
      </c>
      <c r="L32" s="242"/>
      <c r="M32" s="31"/>
      <c r="N32" s="18"/>
      <c r="O32" s="18"/>
      <c r="P32" s="43" t="s">
        <v>62</v>
      </c>
      <c r="Q32" s="18">
        <v>31</v>
      </c>
      <c r="R32" s="18"/>
      <c r="S32" s="18"/>
      <c r="T32" s="43" t="s">
        <v>63</v>
      </c>
      <c r="U32" s="18"/>
      <c r="V32" s="18"/>
      <c r="W32" s="18"/>
      <c r="X32" s="18">
        <v>32</v>
      </c>
    </row>
    <row r="33" spans="2:24" ht="15">
      <c r="B33" s="178" t="s">
        <v>29</v>
      </c>
      <c r="C33" s="30" t="str">
        <f>_xlfn.IFERROR(INDEX(C8:C10,MATCH(3,H8:H10,0)),"")</f>
        <v>Le Chesnay 2</v>
      </c>
      <c r="D33" s="30">
        <f>IF(grille!G30&lt;&gt;"",grille!G30,"")</f>
        <v>0</v>
      </c>
      <c r="E33" s="25">
        <f>IF(grille!H37&lt;&gt;"",grille!H37,"")</f>
        <v>0</v>
      </c>
      <c r="F33" s="166"/>
      <c r="G33" s="158">
        <f>CalculPointMatchs(D33,D34,E33,E32)</f>
        <v>1.994</v>
      </c>
      <c r="H33" s="159">
        <v>2</v>
      </c>
      <c r="I33" s="248">
        <f>SUM(D34,E32)</f>
        <v>6</v>
      </c>
      <c r="J33" s="248"/>
      <c r="K33" s="248">
        <f>SUM(D33:F33)</f>
        <v>0</v>
      </c>
      <c r="L33" s="249"/>
      <c r="M33" s="31"/>
      <c r="N33" s="18"/>
      <c r="O33" s="20" t="s">
        <v>37</v>
      </c>
      <c r="P33" s="193" t="str">
        <f>_xlfn.IFERROR(INDEX(C20:C23,MATCH(1,K20:K23,0)),"")</f>
        <v>Moirans 2</v>
      </c>
      <c r="Q33" s="40">
        <f>IF(grille!G42&lt;&gt;"",grille!G42,"")</f>
        <v>2</v>
      </c>
      <c r="R33" s="22"/>
      <c r="S33" s="20" t="s">
        <v>38</v>
      </c>
      <c r="T33" s="252" t="str">
        <f>_xlfn.IFERROR(INDEX(P20:P23,MATCH(1,X20:X23,0)),"")</f>
        <v>Lyon</v>
      </c>
      <c r="U33" s="253">
        <f aca="true" t="shared" si="0" ref="U33:W34">IF(AA$20=2,y1c,IF(AA$21=2,y2c,IF(AA$22=2,y1d,IF(AA$23=2,y2d,""))))</f>
      </c>
      <c r="V33" s="253">
        <f t="shared" si="0"/>
      </c>
      <c r="W33" s="254">
        <f t="shared" si="0"/>
      </c>
      <c r="X33" s="40">
        <f>IF(grille!G43&lt;&gt;"",grille!G43,"")</f>
        <v>0</v>
      </c>
    </row>
    <row r="34" spans="2:24" ht="15.75" thickBot="1">
      <c r="B34" s="181" t="s">
        <v>30</v>
      </c>
      <c r="C34" s="32" t="str">
        <f>_xlfn.IFERROR(INDEX(P8:P10,MATCH(3,U8:U10,0)),"")</f>
        <v>Epernay</v>
      </c>
      <c r="D34" s="32">
        <f>IF(grille!H30&lt;&gt;"",grille!H30,"")</f>
        <v>3</v>
      </c>
      <c r="E34" s="169"/>
      <c r="F34" s="26">
        <f>IF(grille!G41&lt;&gt;"",grille!G41,"")</f>
        <v>1</v>
      </c>
      <c r="G34" s="164">
        <f>CalculPointMatchs(D34,D33,F34,F32)</f>
        <v>4.998004</v>
      </c>
      <c r="H34" s="165">
        <v>3</v>
      </c>
      <c r="I34" s="243">
        <f>SUM(D33,F32)</f>
        <v>2</v>
      </c>
      <c r="J34" s="243"/>
      <c r="K34" s="243">
        <f>SUM(D34:F34)</f>
        <v>4</v>
      </c>
      <c r="L34" s="244"/>
      <c r="M34" s="31"/>
      <c r="N34" s="18"/>
      <c r="O34" s="23" t="s">
        <v>49</v>
      </c>
      <c r="P34" s="194" t="str">
        <f>_xlfn.IFERROR(INDEX(P27:P30,MATCH(2,X27:X30,0)),"")</f>
        <v>Saint Brieuc</v>
      </c>
      <c r="Q34" s="41">
        <f>IF(grille!H42&lt;&gt;"",grille!H42,"")</f>
        <v>0</v>
      </c>
      <c r="R34" s="22"/>
      <c r="S34" s="130" t="s">
        <v>48</v>
      </c>
      <c r="T34" s="256" t="str">
        <f>_xlfn.IFERROR(INDEX(P27:P30,MATCH(1,X27:X30,0)),"")</f>
        <v>Rennes 2</v>
      </c>
      <c r="U34" s="246">
        <f t="shared" si="0"/>
      </c>
      <c r="V34" s="246">
        <f t="shared" si="0"/>
      </c>
      <c r="W34" s="247">
        <f t="shared" si="0"/>
      </c>
      <c r="X34" s="41">
        <f>IF(grille!H43&lt;&gt;"",grille!H43,"")</f>
        <v>2</v>
      </c>
    </row>
    <row r="35" spans="2:24" ht="15.75">
      <c r="B35" s="18"/>
      <c r="C35" s="18"/>
      <c r="D35" s="18"/>
      <c r="E35" s="18"/>
      <c r="F35" s="19"/>
      <c r="G35" s="19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22"/>
      <c r="S35" s="18"/>
      <c r="T35" s="18"/>
      <c r="U35" s="18"/>
      <c r="V35" s="18"/>
      <c r="W35" s="18"/>
      <c r="X35" s="18"/>
    </row>
    <row r="36" spans="2:24" ht="15.75" thickBot="1">
      <c r="B36" s="18"/>
      <c r="C36" s="18" t="s">
        <v>65</v>
      </c>
      <c r="D36" s="18">
        <v>34</v>
      </c>
      <c r="E36" s="18"/>
      <c r="F36" s="18"/>
      <c r="G36" s="18" t="s">
        <v>66</v>
      </c>
      <c r="H36" s="18"/>
      <c r="I36" s="18"/>
      <c r="J36" s="18"/>
      <c r="K36" s="18">
        <v>33</v>
      </c>
      <c r="L36" s="18"/>
      <c r="M36" s="18"/>
      <c r="N36" s="18"/>
      <c r="O36" s="18"/>
      <c r="P36" s="18" t="s">
        <v>68</v>
      </c>
      <c r="Q36" s="18">
        <v>36</v>
      </c>
      <c r="R36" s="18"/>
      <c r="S36" s="18"/>
      <c r="T36" s="18" t="s">
        <v>69</v>
      </c>
      <c r="U36" s="18"/>
      <c r="V36" s="18"/>
      <c r="W36" s="18"/>
      <c r="X36" s="18">
        <v>35</v>
      </c>
    </row>
    <row r="37" spans="2:24" ht="15">
      <c r="B37" s="20" t="s">
        <v>40</v>
      </c>
      <c r="C37" s="193" t="str">
        <f>_xlfn.IFERROR(INDEX(C27:C29,MATCH(2,H27:H29,0)),"")</f>
        <v>Hyères 2</v>
      </c>
      <c r="D37" s="40">
        <f>IF(grille!G45&lt;&gt;"",grille!G45,"")</f>
        <v>2</v>
      </c>
      <c r="E37" s="22"/>
      <c r="F37" s="20" t="s">
        <v>39</v>
      </c>
      <c r="G37" s="252" t="str">
        <f>_xlfn.IFERROR(INDEX(C27:C29,MATCH(3,H27:H29,0)),"")</f>
        <v>Le Puy 2</v>
      </c>
      <c r="H37" s="253">
        <f>IF(M27=2,e4x,IF(M28=2,e3c,IF(M29=2,e3d,"")))</f>
      </c>
      <c r="I37" s="253">
        <f>IF(N27=2,e4x,IF(N28=2,e3c,IF(N29=2,e3d,"")))</f>
      </c>
      <c r="J37" s="254">
        <f>IF(O27=2,e4x,IF(O28=2,e3c,IF(O29=2,e3d,"")))</f>
      </c>
      <c r="K37" s="21">
        <f>IF(grille!G44&lt;&gt;"",grille!G44,"")</f>
        <v>1</v>
      </c>
      <c r="L37" s="18"/>
      <c r="M37" s="18"/>
      <c r="N37" s="18"/>
      <c r="O37" s="20" t="s">
        <v>42</v>
      </c>
      <c r="P37" s="193" t="str">
        <f>_xlfn.IFERROR(INDEX(P27:P30,MATCH(3,X27:X30,0)),"")</f>
        <v>Brest</v>
      </c>
      <c r="Q37" s="40">
        <f>IF(grille!G47&lt;&gt;"",grille!G47,"")</f>
        <v>3</v>
      </c>
      <c r="R37" s="22"/>
      <c r="S37" s="20" t="s">
        <v>41</v>
      </c>
      <c r="T37" s="252" t="str">
        <f>_xlfn.IFERROR(INDEX(P27:P30,MATCH(4,X27:X30,0)),"")</f>
        <v>Marseille HS</v>
      </c>
      <c r="U37" s="253">
        <f>IF(AB$27=2,g2x,IF(AB$28=2,g3x,IF(AB$29=2,g2y,IF(AB$30=2,g3y,""))))</f>
      </c>
      <c r="V37" s="253">
        <f>IF(AC$27=2,g2x,IF(AC$28=2,g3x,IF(AC$29=2,g2y,IF(AC$30=2,g3y,""))))</f>
      </c>
      <c r="W37" s="254">
        <f>IF(AD$27=2,g2x,IF(AD$28=2,g3x,IF(AD$29=2,g2y,IF(AD$30=2,g3y,""))))</f>
      </c>
      <c r="X37" s="40">
        <f>IF(grille!G46&lt;&gt;"",grille!G46,"")</f>
        <v>0</v>
      </c>
    </row>
    <row r="38" spans="2:24" ht="15.75" thickBot="1">
      <c r="B38" s="23" t="s">
        <v>67</v>
      </c>
      <c r="C38" s="217" t="s">
        <v>248</v>
      </c>
      <c r="D38" s="41">
        <f>IF(grille!H45&lt;&gt;"",grille!H45,"")</f>
        <v>0</v>
      </c>
      <c r="E38" s="22"/>
      <c r="F38" s="23" t="s">
        <v>77</v>
      </c>
      <c r="G38" s="245" t="s">
        <v>259</v>
      </c>
      <c r="H38" s="246">
        <f>IF(M32=3,f4y,IF(M33=3,f3a,IF(M34=3,f3b,"")))</f>
      </c>
      <c r="I38" s="246">
        <f>IF(N32=3,f4y,IF(N33=3,f3a,IF(N34=3,f3b,"")))</f>
      </c>
      <c r="J38" s="247">
        <f>IF(O32=3,f4y,IF(O33=3,f3a,IF(O34=3,f3b,"")))</f>
      </c>
      <c r="K38" s="41">
        <f>IF(grille!H44&lt;&gt;"",grille!H44,"")</f>
        <v>2</v>
      </c>
      <c r="L38" s="18"/>
      <c r="M38" s="18"/>
      <c r="N38" s="18"/>
      <c r="O38" s="23" t="s">
        <v>47</v>
      </c>
      <c r="P38" s="216" t="s">
        <v>252</v>
      </c>
      <c r="Q38" s="41">
        <f>IF(grille!H47&lt;&gt;"",grille!H47,"")</f>
        <v>1</v>
      </c>
      <c r="R38" s="22"/>
      <c r="S38" s="23" t="s">
        <v>70</v>
      </c>
      <c r="T38" s="245" t="s">
        <v>249</v>
      </c>
      <c r="U38" s="246" t="e">
        <f>IF(#REF!=1,e4x,IF(#REF!=1,e3c,IF(#REF!=1,e3d,"")))</f>
        <v>#REF!</v>
      </c>
      <c r="V38" s="246">
        <f>IF(N$27=1,e4x,IF(N$28=1,e3c,IF(N$29=1,e3d,"")))</f>
      </c>
      <c r="W38" s="247">
        <f>IF(O$27=1,e4x,IF(O$28=1,e3c,IF(O$29=1,e3d,"")))</f>
      </c>
      <c r="X38" s="41">
        <f>IF(grille!H46&lt;&gt;"",grille!H46,"")</f>
        <v>3</v>
      </c>
    </row>
    <row r="39" spans="2:24" ht="15.75">
      <c r="B39" s="18"/>
      <c r="C39" s="18"/>
      <c r="D39" s="18"/>
      <c r="E39" s="18"/>
      <c r="F39" s="19"/>
      <c r="G39" s="19"/>
      <c r="H39" s="18"/>
      <c r="I39" s="18"/>
      <c r="J39" s="18"/>
      <c r="K39" s="18"/>
      <c r="L39" s="18"/>
      <c r="M39" s="18"/>
      <c r="N39" s="18"/>
      <c r="O39" s="18"/>
      <c r="P39" s="22"/>
      <c r="Q39" s="18"/>
      <c r="R39" s="18"/>
      <c r="S39" s="18"/>
      <c r="T39" s="196"/>
      <c r="U39" s="196"/>
      <c r="V39" s="196"/>
      <c r="W39" s="196"/>
      <c r="X39" s="18"/>
    </row>
    <row r="40" spans="2:24" ht="16.5" thickBot="1">
      <c r="B40" s="18"/>
      <c r="C40" s="43" t="s">
        <v>71</v>
      </c>
      <c r="D40" s="18">
        <v>37</v>
      </c>
      <c r="E40" s="18"/>
      <c r="F40" s="19"/>
      <c r="G40" s="19"/>
      <c r="H40" s="18"/>
      <c r="I40" s="18"/>
      <c r="J40" s="43" t="s">
        <v>72</v>
      </c>
      <c r="K40" s="18"/>
      <c r="L40" s="18"/>
      <c r="M40" s="18"/>
      <c r="N40" s="18"/>
      <c r="O40" s="18">
        <v>38</v>
      </c>
      <c r="P40" s="22"/>
      <c r="Q40" s="18"/>
      <c r="R40" s="43" t="s">
        <v>73</v>
      </c>
      <c r="S40" s="18"/>
      <c r="T40" s="18"/>
      <c r="U40" s="18"/>
      <c r="V40" s="18">
        <v>39</v>
      </c>
      <c r="W40" s="18"/>
      <c r="X40" s="18"/>
    </row>
    <row r="41" spans="2:24" ht="15.75">
      <c r="B41" s="20">
        <v>291</v>
      </c>
      <c r="C41" s="218" t="s">
        <v>248</v>
      </c>
      <c r="D41" s="40">
        <f>IF(grille!G48&lt;&gt;"",grille!G48,"")</f>
        <v>2</v>
      </c>
      <c r="E41" s="36">
        <f>IF(D42&lt;&gt;D41,IF(D42="f",11,IF(D41&lt;D42,12,11))," ")</f>
        <v>11</v>
      </c>
      <c r="F41" s="19" t="str">
        <f>IF(AND(D51&gt;0,D52&gt;0),IF(D51&gt;D52,9,10)," ")</f>
        <v> </v>
      </c>
      <c r="G41" s="19"/>
      <c r="H41" s="18"/>
      <c r="I41" s="20">
        <v>191</v>
      </c>
      <c r="J41" s="252" t="str">
        <f>gagnant(C37:D38)</f>
        <v>Hyères 2</v>
      </c>
      <c r="K41" s="253"/>
      <c r="L41" s="253"/>
      <c r="M41" s="253"/>
      <c r="N41" s="254"/>
      <c r="O41" s="40">
        <f>IF(grille!G49&lt;&gt;"",grille!G49,"")</f>
        <v>4</v>
      </c>
      <c r="P41" s="42">
        <f>IF(O41&lt;&gt;O42,IF(O41&gt;O42,9,10)," ")</f>
        <v>9</v>
      </c>
      <c r="Q41" s="20">
        <v>251</v>
      </c>
      <c r="R41" s="255" t="str">
        <f>Perdant(P37:Q38)</f>
        <v>Dinan 2</v>
      </c>
      <c r="S41" s="255"/>
      <c r="T41" s="255"/>
      <c r="U41" s="255"/>
      <c r="V41" s="184">
        <f>IF(grille!G50&lt;&gt;"",grille!G50,"")</f>
        <v>3</v>
      </c>
      <c r="W41" s="42">
        <f>IF(V41&lt;&gt;V42,IF(V41&gt;V42,7,8)," ")</f>
        <v>7</v>
      </c>
      <c r="X41" s="18"/>
    </row>
    <row r="42" spans="2:23" ht="16.5" thickBot="1">
      <c r="B42" s="23">
        <v>292</v>
      </c>
      <c r="C42" s="194" t="str">
        <f>Perdant(G37:K38)</f>
        <v>Le Puy 2</v>
      </c>
      <c r="D42" s="41">
        <f>IF(grille!H48&lt;&gt;"",grille!H48,"")</f>
        <v>1</v>
      </c>
      <c r="E42" s="36">
        <f>IF(D41&lt;&gt;D42,IF(D42="f",12,IF(D41&lt;D42,11,12))," ")</f>
        <v>12</v>
      </c>
      <c r="F42" s="19"/>
      <c r="G42" s="19"/>
      <c r="H42" s="18"/>
      <c r="I42" s="23">
        <v>192</v>
      </c>
      <c r="J42" s="245" t="s">
        <v>260</v>
      </c>
      <c r="K42" s="246"/>
      <c r="L42" s="246"/>
      <c r="M42" s="246"/>
      <c r="N42" s="247"/>
      <c r="O42" s="41">
        <f>IF(grille!H49&lt;&gt;"",grille!H49,"")</f>
        <v>0</v>
      </c>
      <c r="P42" s="42">
        <f>IF(O41&lt;&gt;O42,IF(O41&lt;O42,9,10)," ")</f>
        <v>10</v>
      </c>
      <c r="Q42" s="23">
        <v>252</v>
      </c>
      <c r="R42" s="257" t="s">
        <v>254</v>
      </c>
      <c r="S42" s="258"/>
      <c r="T42" s="258"/>
      <c r="U42" s="258"/>
      <c r="V42" s="185">
        <f>IF(grille!H50&lt;&gt;"",grille!H50,"")</f>
        <v>1</v>
      </c>
      <c r="W42" s="42">
        <f>IF(V41&lt;&gt;V42,IF(V41&lt;V42,7,8)," ")</f>
        <v>8</v>
      </c>
    </row>
    <row r="43" spans="2:24" ht="15.75">
      <c r="B43" s="18"/>
      <c r="C43" s="18"/>
      <c r="D43" s="18"/>
      <c r="E43" s="18"/>
      <c r="F43" s="19"/>
      <c r="G43" s="19"/>
      <c r="H43" s="18"/>
      <c r="I43" s="18"/>
      <c r="J43" s="18"/>
      <c r="K43" s="18"/>
      <c r="L43" s="18"/>
      <c r="M43" s="18"/>
      <c r="N43" s="18"/>
      <c r="O43" s="18"/>
      <c r="P43" s="22"/>
      <c r="Q43" s="18"/>
      <c r="R43" s="18"/>
      <c r="S43" s="18"/>
      <c r="T43" s="18"/>
      <c r="U43" s="18"/>
      <c r="V43" s="18"/>
      <c r="W43" s="18"/>
      <c r="X43" s="18"/>
    </row>
    <row r="44" spans="2:24" ht="16.5" thickBot="1">
      <c r="B44" s="18"/>
      <c r="C44" s="43" t="s">
        <v>74</v>
      </c>
      <c r="D44" s="18">
        <v>40</v>
      </c>
      <c r="E44" s="18"/>
      <c r="F44" s="19"/>
      <c r="G44" s="19"/>
      <c r="H44" s="18"/>
      <c r="I44" s="18"/>
      <c r="J44" s="43" t="s">
        <v>75</v>
      </c>
      <c r="K44" s="18"/>
      <c r="L44" s="18"/>
      <c r="M44" s="18"/>
      <c r="N44" s="18"/>
      <c r="O44" s="18">
        <v>41</v>
      </c>
      <c r="P44" s="22"/>
      <c r="Q44" s="18"/>
      <c r="R44" s="43" t="s">
        <v>76</v>
      </c>
      <c r="S44" s="18"/>
      <c r="T44" s="18"/>
      <c r="U44" s="18"/>
      <c r="V44" s="18">
        <v>42</v>
      </c>
      <c r="W44" s="18"/>
      <c r="X44" s="18"/>
    </row>
    <row r="45" spans="2:24" ht="15.75">
      <c r="B45" s="20">
        <v>151</v>
      </c>
      <c r="C45" s="195" t="str">
        <f>gagnant(P37:Q38)</f>
        <v>Brest</v>
      </c>
      <c r="D45" s="184">
        <f>IF(grille!G51&lt;&gt;"",grille!G51,"")</f>
        <v>3</v>
      </c>
      <c r="E45" s="36">
        <f>IF(D45&lt;&gt;D46,IF(D45&gt;D46,5,6)," ")</f>
        <v>5</v>
      </c>
      <c r="F45" s="19"/>
      <c r="G45" s="19"/>
      <c r="H45" s="18"/>
      <c r="I45" s="20" t="s">
        <v>78</v>
      </c>
      <c r="J45" s="252" t="str">
        <f>Perdant(P33:Q34)</f>
        <v>Saint Brieuc</v>
      </c>
      <c r="K45" s="253"/>
      <c r="L45" s="253"/>
      <c r="M45" s="253"/>
      <c r="N45" s="254"/>
      <c r="O45" s="40">
        <f>IF(grille!G52&lt;&gt;"",grille!G52,"")</f>
        <v>2</v>
      </c>
      <c r="P45" s="42">
        <f>IF(O45&lt;&gt;O46,IF(O45&gt;O46,3,4)," ")</f>
        <v>3</v>
      </c>
      <c r="Q45" s="20" t="s">
        <v>80</v>
      </c>
      <c r="R45" s="252" t="str">
        <f>gagnant(P33:Q34)</f>
        <v>Moirans 2</v>
      </c>
      <c r="S45" s="253"/>
      <c r="T45" s="253"/>
      <c r="U45" s="254"/>
      <c r="V45" s="40">
        <f>IF(grille!G53&lt;&gt;"",grille!G53,"")</f>
        <v>2</v>
      </c>
      <c r="W45" s="42">
        <f>IF(V45&lt;&gt;V46,IF(V45&gt;V46,1,2)," ")</f>
        <v>1</v>
      </c>
      <c r="X45" s="18"/>
    </row>
    <row r="46" spans="2:24" ht="16.5" thickBot="1">
      <c r="B46" s="23">
        <v>152</v>
      </c>
      <c r="C46" s="219" t="s">
        <v>249</v>
      </c>
      <c r="D46" s="185">
        <f>IF(grille!H51&lt;&gt;"",grille!H51,"")</f>
        <v>2</v>
      </c>
      <c r="E46" s="36">
        <f>IF(D45&lt;&gt;D46,IF(D45&lt;D46,5,6)," ")</f>
        <v>6</v>
      </c>
      <c r="F46" s="19"/>
      <c r="G46" s="19"/>
      <c r="H46" s="18"/>
      <c r="I46" s="23" t="s">
        <v>79</v>
      </c>
      <c r="J46" s="256" t="str">
        <f>Perdant(T33:X34)</f>
        <v>Lyon</v>
      </c>
      <c r="K46" s="246"/>
      <c r="L46" s="246"/>
      <c r="M46" s="246"/>
      <c r="N46" s="247"/>
      <c r="O46" s="41">
        <f>IF(grille!H52&lt;&gt;"",grille!H52,"")</f>
        <v>1</v>
      </c>
      <c r="P46" s="42">
        <f>IF(O45&lt;&gt;O46,IF(O45&lt;O46,3,4)," ")</f>
        <v>4</v>
      </c>
      <c r="Q46" s="23" t="s">
        <v>81</v>
      </c>
      <c r="R46" s="256" t="str">
        <f>gagnant(T33:X34)</f>
        <v>Rennes 2</v>
      </c>
      <c r="S46" s="246"/>
      <c r="T46" s="246"/>
      <c r="U46" s="247"/>
      <c r="V46" s="41">
        <f>IF(grille!H53&lt;&gt;"",grille!H53,"")</f>
        <v>1</v>
      </c>
      <c r="W46" s="42">
        <f>IF(V45&lt;&gt;V46,IF(V45&lt;V46,1,2)," ")</f>
        <v>2</v>
      </c>
      <c r="X46" s="18"/>
    </row>
    <row r="48" spans="1:27" ht="15.75">
      <c r="A48" s="27"/>
      <c r="B48" s="27"/>
      <c r="D48" s="27"/>
      <c r="E48" s="27"/>
      <c r="F48" s="28"/>
      <c r="G48" s="28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</row>
    <row r="49" spans="1:27" ht="15.75">
      <c r="A49" s="27"/>
      <c r="B49" s="27"/>
      <c r="C49" s="27"/>
      <c r="D49" s="27"/>
      <c r="E49" s="27"/>
      <c r="F49" s="28"/>
      <c r="G49" s="28"/>
      <c r="H49" s="27"/>
      <c r="I49" s="36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</row>
    <row r="50" spans="1:27" ht="15.75">
      <c r="A50" s="27"/>
      <c r="B50" s="27"/>
      <c r="C50" s="27"/>
      <c r="D50" s="27"/>
      <c r="E50" s="27"/>
      <c r="F50" s="28"/>
      <c r="G50" s="28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</row>
    <row r="51" spans="1:27" ht="15.75">
      <c r="A51" s="27"/>
      <c r="B51" s="27"/>
      <c r="C51" s="27"/>
      <c r="D51" s="27"/>
      <c r="E51" s="27"/>
      <c r="F51" s="28"/>
      <c r="G51" s="28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</row>
    <row r="52" spans="1:27" ht="15.75">
      <c r="A52" s="27"/>
      <c r="B52" s="27"/>
      <c r="C52" s="27"/>
      <c r="D52" s="27"/>
      <c r="E52" s="27"/>
      <c r="F52" s="28"/>
      <c r="G52" s="28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</row>
    <row r="53" spans="1:27" ht="15.75">
      <c r="A53" s="27"/>
      <c r="B53" s="27"/>
      <c r="C53" s="27"/>
      <c r="D53" s="27"/>
      <c r="E53" s="27"/>
      <c r="F53" s="28"/>
      <c r="G53" s="28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</row>
    <row r="54" spans="1:27" ht="15.75">
      <c r="A54" s="27"/>
      <c r="B54" s="27"/>
      <c r="C54" s="27"/>
      <c r="D54" s="27"/>
      <c r="E54" s="27"/>
      <c r="F54" s="28"/>
      <c r="G54" s="28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</row>
    <row r="55" spans="1:27" ht="15.75">
      <c r="A55" s="27"/>
      <c r="B55" s="27"/>
      <c r="C55" s="27"/>
      <c r="D55" s="27"/>
      <c r="E55" s="27"/>
      <c r="F55" s="28"/>
      <c r="G55" s="28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</row>
    <row r="56" spans="1:27" ht="15.75">
      <c r="A56" s="27"/>
      <c r="B56" s="27"/>
      <c r="C56" s="27"/>
      <c r="D56" s="27"/>
      <c r="E56" s="27"/>
      <c r="F56" s="28"/>
      <c r="G56" s="28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</row>
    <row r="57" spans="1:27" ht="15.75">
      <c r="A57" s="27"/>
      <c r="B57" s="27"/>
      <c r="C57" s="27"/>
      <c r="D57" s="27"/>
      <c r="E57" s="27"/>
      <c r="F57" s="28"/>
      <c r="G57" s="28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</row>
    <row r="58" spans="1:27" ht="15.75">
      <c r="A58" s="27"/>
      <c r="B58" s="27"/>
      <c r="C58" s="27"/>
      <c r="D58" s="27"/>
      <c r="E58" s="27"/>
      <c r="F58" s="28"/>
      <c r="G58" s="28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</row>
    <row r="59" spans="1:27" ht="15.75">
      <c r="A59" s="27"/>
      <c r="B59" s="27"/>
      <c r="C59" s="27"/>
      <c r="D59" s="27"/>
      <c r="E59" s="27"/>
      <c r="F59" s="28"/>
      <c r="G59" s="28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</row>
    <row r="60" spans="1:27" ht="15.75">
      <c r="A60" s="27"/>
      <c r="B60" s="27"/>
      <c r="C60" s="27"/>
      <c r="D60" s="27"/>
      <c r="E60" s="27"/>
      <c r="F60" s="28"/>
      <c r="G60" s="28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</row>
  </sheetData>
  <sheetProtection/>
  <mergeCells count="77">
    <mergeCell ref="R45:U45"/>
    <mergeCell ref="T37:W37"/>
    <mergeCell ref="X15:Y15"/>
    <mergeCell ref="I16:J16"/>
    <mergeCell ref="R46:U46"/>
    <mergeCell ref="V16:W16"/>
    <mergeCell ref="R42:U42"/>
    <mergeCell ref="J45:N45"/>
    <mergeCell ref="J46:N46"/>
    <mergeCell ref="J42:N42"/>
    <mergeCell ref="V6:W7"/>
    <mergeCell ref="T38:W38"/>
    <mergeCell ref="K8:L8"/>
    <mergeCell ref="T34:W34"/>
    <mergeCell ref="T33:W33"/>
    <mergeCell ref="I34:J34"/>
    <mergeCell ref="K34:L34"/>
    <mergeCell ref="V14:W14"/>
    <mergeCell ref="V8:W8"/>
    <mergeCell ref="I9:J9"/>
    <mergeCell ref="X14:Y14"/>
    <mergeCell ref="V15:W15"/>
    <mergeCell ref="J41:N41"/>
    <mergeCell ref="R41:U41"/>
    <mergeCell ref="V10:W10"/>
    <mergeCell ref="B5:D5"/>
    <mergeCell ref="I6:J7"/>
    <mergeCell ref="K6:L7"/>
    <mergeCell ref="X6:Y7"/>
    <mergeCell ref="X12:Y13"/>
    <mergeCell ref="X8:Y8"/>
    <mergeCell ref="V9:W9"/>
    <mergeCell ref="X9:Y9"/>
    <mergeCell ref="X10:Y10"/>
    <mergeCell ref="I1:P1"/>
    <mergeCell ref="G2:H2"/>
    <mergeCell ref="I2:P2"/>
    <mergeCell ref="K3:S3"/>
    <mergeCell ref="C4:J4"/>
    <mergeCell ref="L4:N4"/>
    <mergeCell ref="O4:S4"/>
    <mergeCell ref="I10:J10"/>
    <mergeCell ref="I25:J26"/>
    <mergeCell ref="K25:L26"/>
    <mergeCell ref="K9:L9"/>
    <mergeCell ref="E5:S5"/>
    <mergeCell ref="I8:J8"/>
    <mergeCell ref="I14:J14"/>
    <mergeCell ref="K14:L14"/>
    <mergeCell ref="K10:L10"/>
    <mergeCell ref="I15:J15"/>
    <mergeCell ref="V12:W13"/>
    <mergeCell ref="L18:L19"/>
    <mergeCell ref="K15:L15"/>
    <mergeCell ref="G37:J37"/>
    <mergeCell ref="I12:J13"/>
    <mergeCell ref="K12:L13"/>
    <mergeCell ref="K32:L32"/>
    <mergeCell ref="K29:L29"/>
    <mergeCell ref="G38:J38"/>
    <mergeCell ref="I29:J29"/>
    <mergeCell ref="K28:L28"/>
    <mergeCell ref="I27:J27"/>
    <mergeCell ref="I28:J28"/>
    <mergeCell ref="I32:J32"/>
    <mergeCell ref="I33:J33"/>
    <mergeCell ref="K33:L33"/>
    <mergeCell ref="I30:J31"/>
    <mergeCell ref="K30:L31"/>
    <mergeCell ref="Y18:Y19"/>
    <mergeCell ref="Z18:Z19"/>
    <mergeCell ref="Y25:Y26"/>
    <mergeCell ref="Z25:Z26"/>
    <mergeCell ref="K27:L27"/>
    <mergeCell ref="K16:L16"/>
    <mergeCell ref="M18:M19"/>
    <mergeCell ref="X16:Y16"/>
  </mergeCells>
  <conditionalFormatting sqref="L37:M38 J12:J13 X19 X26 H30:H31 U35:V36 Q27:T36 N8:N17 U27:V32 D8:G12 M30:M36 H11:I13 K11:L13 U11:V13 Y18 Y25:Y26 M8:M19 M25 L18 K18:K19 U18:V18 D20:J23 D30:G30 D35:L36 D14:G16 Q8:T12 Q14:T18 D18:J18 O8:P23 B17:Y17 Q20:W23 Q27:W30 Q25:V25 N25:P36 D25:G25 H25:H26 D27:F29 D32:F34">
    <cfRule type="cellIs" priority="76" dxfId="19" operator="equal" stopIfTrue="1">
      <formula>FALSE</formula>
    </cfRule>
  </conditionalFormatting>
  <conditionalFormatting sqref="T6:V6 U7:V7">
    <cfRule type="cellIs" priority="61" dxfId="3" operator="equal" stopIfTrue="1">
      <formula>FALSE</formula>
    </cfRule>
  </conditionalFormatting>
  <conditionalFormatting sqref="I17 K17">
    <cfRule type="cellIs" priority="28" dxfId="19" operator="equal" stopIfTrue="1">
      <formula>FALSE</formula>
    </cfRule>
  </conditionalFormatting>
  <conditionalFormatting sqref="L20:M23">
    <cfRule type="cellIs" priority="25" dxfId="19" operator="equal" stopIfTrue="1">
      <formula>FALSE</formula>
    </cfRule>
  </conditionalFormatting>
  <conditionalFormatting sqref="I8:I10 K8:K10">
    <cfRule type="cellIs" priority="15" dxfId="19" operator="equal" stopIfTrue="1">
      <formula>FALSE</formula>
    </cfRule>
  </conditionalFormatting>
  <conditionalFormatting sqref="V17 X17">
    <cfRule type="cellIs" priority="26" dxfId="19" operator="equal" stopIfTrue="1">
      <formula>FALSE</formula>
    </cfRule>
  </conditionalFormatting>
  <conditionalFormatting sqref="M20:M23">
    <cfRule type="cellIs" priority="24" dxfId="3" operator="equal" stopIfTrue="1">
      <formula>FALSE</formula>
    </cfRule>
  </conditionalFormatting>
  <conditionalFormatting sqref="I32:I34">
    <cfRule type="cellIs" priority="1" dxfId="19" operator="equal" stopIfTrue="1">
      <formula>FALSE</formula>
    </cfRule>
  </conditionalFormatting>
  <conditionalFormatting sqref="Y27:Z30">
    <cfRule type="cellIs" priority="9" dxfId="19" operator="equal" stopIfTrue="1">
      <formula>FALSE</formula>
    </cfRule>
  </conditionalFormatting>
  <conditionalFormatting sqref="V8:V10 X8:X10">
    <cfRule type="cellIs" priority="13" dxfId="19" operator="equal" stopIfTrue="1">
      <formula>FALSE</formula>
    </cfRule>
  </conditionalFormatting>
  <conditionalFormatting sqref="I27:I29 K27:K29">
    <cfRule type="cellIs" priority="6" dxfId="19" operator="equal" stopIfTrue="1">
      <formula>FALSE</formula>
    </cfRule>
  </conditionalFormatting>
  <conditionalFormatting sqref="Z27:Z30">
    <cfRule type="cellIs" priority="8" dxfId="3" operator="equal" stopIfTrue="1">
      <formula>FALSE</formula>
    </cfRule>
  </conditionalFormatting>
  <conditionalFormatting sqref="I14:I16 K14:K16">
    <cfRule type="cellIs" priority="14" dxfId="19" operator="equal" stopIfTrue="1">
      <formula>FALSE</formula>
    </cfRule>
  </conditionalFormatting>
  <conditionalFormatting sqref="V14:V16 X14:X16">
    <cfRule type="cellIs" priority="12" dxfId="19" operator="equal" stopIfTrue="1">
      <formula>FALSE</formula>
    </cfRule>
  </conditionalFormatting>
  <conditionalFormatting sqref="Y20:Z23">
    <cfRule type="cellIs" priority="11" dxfId="19" operator="equal" stopIfTrue="1">
      <formula>FALSE</formula>
    </cfRule>
  </conditionalFormatting>
  <conditionalFormatting sqref="Z20:Z23">
    <cfRule type="cellIs" priority="10" dxfId="3" operator="equal" stopIfTrue="1">
      <formula>FALSE</formula>
    </cfRule>
  </conditionalFormatting>
  <conditionalFormatting sqref="G32:G34">
    <cfRule type="cellIs" priority="2" dxfId="19" operator="equal" stopIfTrue="1">
      <formula>FALSE</formula>
    </cfRule>
  </conditionalFormatting>
  <conditionalFormatting sqref="G27:G29">
    <cfRule type="cellIs" priority="7" dxfId="19" operator="equal" stopIfTrue="1">
      <formula>FALSE</formula>
    </cfRule>
  </conditionalFormatting>
  <conditionalFormatting sqref="K32:K34">
    <cfRule type="cellIs" priority="4" dxfId="19" operator="equal" stopIfTrue="1">
      <formula>FALSE</formula>
    </cfRule>
  </conditionalFormatting>
  <printOptions horizontalCentered="1" verticalCentered="1"/>
  <pageMargins left="0.35433070866141736" right="0.4330708661417323" top="0.3937007874015748" bottom="0.35433070866141736" header="0.2755905511811024" footer="0.15748031496062992"/>
  <pageSetup fitToHeight="1" fitToWidth="1" horizontalDpi="600" verticalDpi="600" orientation="landscape" paperSize="9" scale="72" r:id="rId3"/>
  <headerFooter alignWithMargins="0">
    <oddHeader xml:space="preserve">&amp;R&amp;"Arial,Gras"&amp;14   </oddHeader>
  </headerFooter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4"/>
  <dimension ref="A1:F24"/>
  <sheetViews>
    <sheetView zoomScalePageLayoutView="0" workbookViewId="0" topLeftCell="A9">
      <selection activeCell="C17" sqref="C17"/>
    </sheetView>
  </sheetViews>
  <sheetFormatPr defaultColWidth="11.421875" defaultRowHeight="12.75"/>
  <cols>
    <col min="1" max="1" width="24.57421875" style="99" customWidth="1"/>
    <col min="2" max="2" width="34.00390625" style="99" customWidth="1"/>
    <col min="3" max="3" width="11.57421875" style="99" customWidth="1"/>
    <col min="4" max="4" width="4.8515625" style="99" customWidth="1"/>
    <col min="5" max="5" width="4.8515625" style="100" customWidth="1"/>
    <col min="6" max="16384" width="11.421875" style="72" customWidth="1"/>
  </cols>
  <sheetData>
    <row r="1" spans="1:5" s="89" customFormat="1" ht="15.75">
      <c r="A1" s="87"/>
      <c r="B1" s="87"/>
      <c r="C1" s="87"/>
      <c r="D1" s="87"/>
      <c r="E1" s="88"/>
    </row>
    <row r="2" spans="5:6" s="90" customFormat="1" ht="90.75" customHeight="1">
      <c r="E2" s="91"/>
      <c r="F2" s="91"/>
    </row>
    <row r="3" spans="1:3" s="90" customFormat="1" ht="25.5" customHeight="1">
      <c r="A3" s="92" t="s">
        <v>118</v>
      </c>
      <c r="B3" s="259" t="str">
        <f>saison</f>
        <v>2018-2019</v>
      </c>
      <c r="C3" s="260"/>
    </row>
    <row r="4" spans="1:3" s="90" customFormat="1" ht="21" customHeight="1">
      <c r="A4" s="92" t="s">
        <v>121</v>
      </c>
      <c r="B4" s="259" t="str">
        <f>date</f>
        <v>15 et 16 juin 2019</v>
      </c>
      <c r="C4" s="260"/>
    </row>
    <row r="5" spans="1:5" s="89" customFormat="1" ht="15.75">
      <c r="A5" s="87"/>
      <c r="B5" s="87"/>
      <c r="C5" s="87"/>
      <c r="D5" s="87"/>
      <c r="E5" s="88"/>
    </row>
    <row r="6" spans="1:3" s="89" customFormat="1" ht="18">
      <c r="A6" s="92" t="s">
        <v>119</v>
      </c>
      <c r="B6" s="93" t="str">
        <f>lieu</f>
        <v>Saint Brieuc</v>
      </c>
      <c r="C6" s="96"/>
    </row>
    <row r="7" spans="1:3" s="89" customFormat="1" ht="18">
      <c r="A7" s="92" t="s">
        <v>122</v>
      </c>
      <c r="B7" s="93" t="str">
        <f>catégorie</f>
        <v>Division 3 Masculine</v>
      </c>
      <c r="C7" s="94"/>
    </row>
    <row r="8" spans="1:5" ht="15.75">
      <c r="A8" s="97"/>
      <c r="B8" s="97"/>
      <c r="C8" s="97"/>
      <c r="D8" s="97"/>
      <c r="E8" s="98"/>
    </row>
    <row r="9" ht="16.5" thickBot="1"/>
    <row r="10" spans="2:3" ht="24.75" customHeight="1">
      <c r="B10" s="204" t="str">
        <f>gagnant(poules!R45:V46)</f>
        <v>Moirans 2</v>
      </c>
      <c r="C10" s="201">
        <v>1</v>
      </c>
    </row>
    <row r="11" spans="2:3" ht="24.75" customHeight="1">
      <c r="B11" s="205" t="str">
        <f>Perdant(poules!R45:V46)</f>
        <v>Rennes 2</v>
      </c>
      <c r="C11" s="261">
        <v>2</v>
      </c>
    </row>
    <row r="12" spans="2:3" ht="24.75" customHeight="1">
      <c r="B12" s="205" t="str">
        <f>gagnant(poules!J45:O46)</f>
        <v>Saint Brieuc</v>
      </c>
      <c r="C12" s="261">
        <v>3</v>
      </c>
    </row>
    <row r="13" spans="2:3" ht="24.75" customHeight="1">
      <c r="B13" s="205" t="str">
        <f>Perdant(poules!J45:O46)</f>
        <v>Lyon</v>
      </c>
      <c r="C13" s="202">
        <v>4</v>
      </c>
    </row>
    <row r="14" spans="2:3" ht="24.75" customHeight="1">
      <c r="B14" s="205" t="s">
        <v>244</v>
      </c>
      <c r="C14" s="202">
        <v>5</v>
      </c>
    </row>
    <row r="15" spans="2:3" ht="24.75" customHeight="1">
      <c r="B15" s="205" t="s">
        <v>249</v>
      </c>
      <c r="C15" s="202">
        <v>6</v>
      </c>
    </row>
    <row r="16" spans="2:3" ht="24.75" customHeight="1">
      <c r="B16" s="205" t="s">
        <v>252</v>
      </c>
      <c r="C16" s="202">
        <v>7</v>
      </c>
    </row>
    <row r="17" spans="2:3" ht="24.75" customHeight="1">
      <c r="B17" s="205" t="s">
        <v>254</v>
      </c>
      <c r="C17" s="202">
        <v>8</v>
      </c>
    </row>
    <row r="18" spans="2:3" ht="24.75" customHeight="1">
      <c r="B18" s="205" t="str">
        <f>gagnant(poules!J41:O42)</f>
        <v>Hyères 2</v>
      </c>
      <c r="C18" s="202">
        <v>9</v>
      </c>
    </row>
    <row r="19" spans="2:6" s="99" customFormat="1" ht="24.75" customHeight="1">
      <c r="B19" s="205" t="str">
        <f>Perdant(poules!J41:O42)</f>
        <v>Le chesnay 2</v>
      </c>
      <c r="C19" s="202">
        <v>10</v>
      </c>
      <c r="E19" s="100"/>
      <c r="F19" s="72"/>
    </row>
    <row r="20" spans="2:6" s="99" customFormat="1" ht="24.75" customHeight="1">
      <c r="B20" s="205" t="str">
        <f>gagnant(poules!C41:D42)</f>
        <v>Epernay</v>
      </c>
      <c r="C20" s="202">
        <v>11</v>
      </c>
      <c r="E20" s="100"/>
      <c r="F20" s="72"/>
    </row>
    <row r="21" spans="2:6" s="99" customFormat="1" ht="24.75" customHeight="1" thickBot="1">
      <c r="B21" s="206" t="str">
        <f>Perdant(poules!C41:D42)</f>
        <v>Le Puy 2</v>
      </c>
      <c r="C21" s="203">
        <v>12</v>
      </c>
      <c r="E21" s="100"/>
      <c r="F21" s="72"/>
    </row>
    <row r="24" spans="1:2" ht="15.75">
      <c r="A24" s="153" t="s">
        <v>166</v>
      </c>
      <c r="B24" s="153"/>
    </row>
  </sheetData>
  <sheetProtection/>
  <mergeCells count="2">
    <mergeCell ref="B3:C3"/>
    <mergeCell ref="B4:C4"/>
  </mergeCells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5"/>
  <dimension ref="A1:K29"/>
  <sheetViews>
    <sheetView zoomScalePageLayoutView="0" workbookViewId="0" topLeftCell="A1">
      <selection activeCell="A1" sqref="A1:IV16384"/>
    </sheetView>
  </sheetViews>
  <sheetFormatPr defaultColWidth="11.421875" defaultRowHeight="12.75"/>
  <cols>
    <col min="1" max="1" width="17.140625" style="213" customWidth="1"/>
    <col min="2" max="2" width="19.8515625" style="72" customWidth="1"/>
    <col min="3" max="3" width="17.8515625" style="72" customWidth="1"/>
    <col min="4" max="4" width="20.8515625" style="213" bestFit="1" customWidth="1"/>
    <col min="5" max="6" width="12.7109375" style="72" customWidth="1"/>
    <col min="7" max="7" width="11.140625" style="107" customWidth="1"/>
    <col min="8" max="10" width="11.421875" style="107" customWidth="1"/>
    <col min="11" max="16384" width="11.421875" style="72" customWidth="1"/>
  </cols>
  <sheetData>
    <row r="1" spans="1:11" ht="12.75">
      <c r="A1" s="211" t="s">
        <v>125</v>
      </c>
      <c r="B1" s="105" t="s">
        <v>126</v>
      </c>
      <c r="C1" s="105" t="s">
        <v>127</v>
      </c>
      <c r="D1" s="211" t="s">
        <v>128</v>
      </c>
      <c r="E1" s="106" t="s">
        <v>129</v>
      </c>
      <c r="F1" s="106" t="s">
        <v>130</v>
      </c>
      <c r="G1" s="106" t="s">
        <v>131</v>
      </c>
      <c r="H1" s="108" t="s">
        <v>222</v>
      </c>
      <c r="I1" s="108" t="s">
        <v>223</v>
      </c>
      <c r="J1" s="108" t="s">
        <v>224</v>
      </c>
      <c r="K1" s="212" t="s">
        <v>225</v>
      </c>
    </row>
    <row r="2" spans="1:11" ht="12.75">
      <c r="A2" s="213" t="s">
        <v>189</v>
      </c>
      <c r="B2" s="72" t="s">
        <v>219</v>
      </c>
      <c r="C2" s="72" t="s">
        <v>216</v>
      </c>
      <c r="D2" s="213" t="s">
        <v>229</v>
      </c>
      <c r="E2" s="107">
        <f>COUNTIF(grille!M$9:M$53,$D2)</f>
        <v>0</v>
      </c>
      <c r="F2" s="107">
        <f>COUNTIF(grille!N$9:O$53,$D2)</f>
        <v>0</v>
      </c>
      <c r="G2" s="107">
        <v>1</v>
      </c>
      <c r="H2" s="107">
        <v>3</v>
      </c>
      <c r="I2" s="107">
        <v>1</v>
      </c>
      <c r="J2" s="107">
        <v>1</v>
      </c>
      <c r="K2" s="72" t="s">
        <v>243</v>
      </c>
    </row>
    <row r="3" spans="1:11" ht="12.75">
      <c r="A3" s="213" t="s">
        <v>193</v>
      </c>
      <c r="B3" s="72" t="s">
        <v>207</v>
      </c>
      <c r="C3" s="72" t="s">
        <v>208</v>
      </c>
      <c r="D3" s="213" t="s">
        <v>232</v>
      </c>
      <c r="E3" s="107">
        <f>COUNTIF(grille!M$9:M$53,$D3)</f>
        <v>0</v>
      </c>
      <c r="F3" s="107">
        <f>COUNTIF(grille!N$9:O$53,$D3)</f>
        <v>0</v>
      </c>
      <c r="G3" s="107">
        <v>1</v>
      </c>
      <c r="H3" s="107">
        <v>3</v>
      </c>
      <c r="I3" s="107">
        <v>0</v>
      </c>
      <c r="J3" s="107">
        <v>0</v>
      </c>
      <c r="K3" s="72" t="s">
        <v>235</v>
      </c>
    </row>
    <row r="4" spans="1:11" ht="12.75">
      <c r="A4" s="213" t="s">
        <v>196</v>
      </c>
      <c r="B4" s="72" t="s">
        <v>213</v>
      </c>
      <c r="C4" s="72" t="s">
        <v>214</v>
      </c>
      <c r="D4" s="213" t="s">
        <v>227</v>
      </c>
      <c r="E4" s="107">
        <f>COUNTIF(grille!M$9:M$53,$D4)</f>
        <v>0</v>
      </c>
      <c r="F4" s="107">
        <f>COUNTIF(grille!N$9:O$53,$D4)</f>
        <v>0</v>
      </c>
      <c r="G4" s="107">
        <v>1</v>
      </c>
      <c r="H4" s="107">
        <v>0</v>
      </c>
      <c r="I4" s="107">
        <v>0</v>
      </c>
      <c r="J4" s="107">
        <v>1</v>
      </c>
      <c r="K4" s="72" t="s">
        <v>239</v>
      </c>
    </row>
    <row r="5" spans="1:11" ht="12.75">
      <c r="A5" s="213" t="s">
        <v>191</v>
      </c>
      <c r="B5" s="72" t="s">
        <v>217</v>
      </c>
      <c r="C5" s="72" t="s">
        <v>218</v>
      </c>
      <c r="D5" s="213" t="s">
        <v>226</v>
      </c>
      <c r="E5" s="107">
        <f>COUNTIF(grille!M$9:M$53,$D5)</f>
        <v>0</v>
      </c>
      <c r="F5" s="107">
        <f>COUNTIF(grille!N$9:O$53,$D5)</f>
        <v>0</v>
      </c>
      <c r="G5" s="107">
        <v>1</v>
      </c>
      <c r="H5" s="107">
        <v>0</v>
      </c>
      <c r="I5" s="107">
        <v>0</v>
      </c>
      <c r="J5" s="107">
        <v>0</v>
      </c>
      <c r="K5" s="72" t="s">
        <v>240</v>
      </c>
    </row>
    <row r="6" spans="1:11" ht="12.75">
      <c r="A6" s="213" t="s">
        <v>190</v>
      </c>
      <c r="B6" s="72" t="s">
        <v>209</v>
      </c>
      <c r="C6" s="72" t="s">
        <v>210</v>
      </c>
      <c r="D6" s="213" t="s">
        <v>233</v>
      </c>
      <c r="E6" s="107">
        <f>COUNTIF(grille!M$9:M$53,$D6)</f>
        <v>0</v>
      </c>
      <c r="F6" s="107">
        <f>COUNTIF(grille!N$9:O$53,$D6)</f>
        <v>0</v>
      </c>
      <c r="G6" s="107">
        <v>2</v>
      </c>
      <c r="H6" s="107">
        <v>1</v>
      </c>
      <c r="I6" s="107">
        <v>0</v>
      </c>
      <c r="J6" s="107">
        <v>0</v>
      </c>
      <c r="K6" s="72" t="s">
        <v>237</v>
      </c>
    </row>
    <row r="7" spans="1:11" ht="12.75">
      <c r="A7" s="213" t="s">
        <v>188</v>
      </c>
      <c r="B7" s="72" t="s">
        <v>205</v>
      </c>
      <c r="C7" s="72" t="s">
        <v>206</v>
      </c>
      <c r="D7" s="213" t="s">
        <v>231</v>
      </c>
      <c r="E7" s="107">
        <f>COUNTIF(grille!M$9:M$53,$D7)</f>
        <v>0</v>
      </c>
      <c r="F7" s="107">
        <f>COUNTIF(grille!N$9:O$53,$D7)</f>
        <v>0</v>
      </c>
      <c r="G7" s="107">
        <v>7</v>
      </c>
      <c r="H7" s="107">
        <v>0</v>
      </c>
      <c r="I7" s="107">
        <v>0</v>
      </c>
      <c r="J7" s="107">
        <v>1</v>
      </c>
      <c r="K7" s="72" t="s">
        <v>238</v>
      </c>
    </row>
    <row r="8" spans="1:11" ht="12.75">
      <c r="A8" s="213" t="s">
        <v>192</v>
      </c>
      <c r="B8" s="72" t="s">
        <v>220</v>
      </c>
      <c r="C8" s="72" t="s">
        <v>221</v>
      </c>
      <c r="D8" s="213" t="s">
        <v>234</v>
      </c>
      <c r="E8" s="107">
        <f>COUNTIF(grille!M$9:M$53,$D8)</f>
        <v>0</v>
      </c>
      <c r="F8" s="107">
        <f>COUNTIF(grille!N$9:O$53,$D8)</f>
        <v>0</v>
      </c>
      <c r="G8" s="107">
        <v>7</v>
      </c>
      <c r="H8" s="107">
        <v>4</v>
      </c>
      <c r="I8" s="107">
        <v>1</v>
      </c>
      <c r="J8" s="107">
        <v>1</v>
      </c>
      <c r="K8" s="72" t="s">
        <v>241</v>
      </c>
    </row>
    <row r="9" spans="1:11" ht="12.75">
      <c r="A9" s="213" t="s">
        <v>194</v>
      </c>
      <c r="B9" s="72" t="s">
        <v>215</v>
      </c>
      <c r="C9" s="72" t="s">
        <v>216</v>
      </c>
      <c r="D9" s="213" t="s">
        <v>228</v>
      </c>
      <c r="E9" s="107">
        <f>COUNTIF(grille!M$9:M$53,$D9)</f>
        <v>0</v>
      </c>
      <c r="F9" s="107">
        <f>COUNTIF(grille!N$9:O$53,$D9)</f>
        <v>0</v>
      </c>
      <c r="G9" s="107">
        <v>7</v>
      </c>
      <c r="H9" s="107">
        <v>3</v>
      </c>
      <c r="I9" s="107">
        <v>1</v>
      </c>
      <c r="J9" s="107">
        <v>1</v>
      </c>
      <c r="K9" s="72" t="s">
        <v>242</v>
      </c>
    </row>
    <row r="10" spans="1:11" ht="12.75">
      <c r="A10" s="213" t="s">
        <v>195</v>
      </c>
      <c r="B10" s="72" t="s">
        <v>211</v>
      </c>
      <c r="C10" s="72" t="s">
        <v>212</v>
      </c>
      <c r="D10" s="213" t="s">
        <v>230</v>
      </c>
      <c r="E10" s="107">
        <f>COUNTIF(grille!M$9:M$53,$D10)</f>
        <v>0</v>
      </c>
      <c r="F10" s="107">
        <f>COUNTIF(grille!N$9:O$53,$D10)</f>
        <v>0</v>
      </c>
      <c r="G10" s="107">
        <v>7</v>
      </c>
      <c r="H10" s="107">
        <v>1</v>
      </c>
      <c r="I10" s="107">
        <v>0</v>
      </c>
      <c r="J10" s="107">
        <v>0</v>
      </c>
      <c r="K10" s="72" t="s">
        <v>236</v>
      </c>
    </row>
    <row r="11" spans="5:6" ht="12.75">
      <c r="E11" s="107"/>
      <c r="F11" s="107"/>
    </row>
    <row r="12" spans="5:6" ht="12.75">
      <c r="E12" s="107"/>
      <c r="F12" s="107"/>
    </row>
    <row r="13" spans="5:6" ht="12.75">
      <c r="E13" s="107"/>
      <c r="F13" s="107"/>
    </row>
    <row r="14" spans="5:6" ht="12.75">
      <c r="E14" s="107"/>
      <c r="F14" s="107"/>
    </row>
    <row r="15" spans="5:6" ht="12.75">
      <c r="E15" s="107"/>
      <c r="F15" s="107"/>
    </row>
    <row r="16" spans="5:6" ht="12.75">
      <c r="E16" s="107"/>
      <c r="F16" s="107"/>
    </row>
    <row r="17" spans="5:6" ht="12.75">
      <c r="E17" s="107"/>
      <c r="F17" s="107"/>
    </row>
    <row r="18" spans="5:6" ht="12.75">
      <c r="E18" s="107"/>
      <c r="F18" s="107"/>
    </row>
    <row r="19" spans="5:6" ht="12.75">
      <c r="E19" s="107"/>
      <c r="F19" s="107"/>
    </row>
    <row r="20" spans="5:6" ht="12.75">
      <c r="E20" s="107"/>
      <c r="F20" s="107"/>
    </row>
    <row r="21" spans="5:6" ht="12.75">
      <c r="E21" s="107"/>
      <c r="F21" s="107"/>
    </row>
    <row r="22" spans="5:6" ht="12.75">
      <c r="E22" s="107"/>
      <c r="F22" s="107"/>
    </row>
    <row r="23" spans="5:6" ht="12.75">
      <c r="E23" s="107"/>
      <c r="F23" s="107"/>
    </row>
    <row r="24" spans="5:6" ht="12.75">
      <c r="E24" s="107"/>
      <c r="F24" s="107"/>
    </row>
    <row r="25" spans="5:6" ht="12.75">
      <c r="E25" s="107"/>
      <c r="F25" s="107"/>
    </row>
    <row r="26" spans="5:6" ht="12.75">
      <c r="E26" s="107"/>
      <c r="F26" s="107"/>
    </row>
    <row r="27" spans="5:6" ht="12.75">
      <c r="E27" s="107"/>
      <c r="F27" s="107"/>
    </row>
    <row r="28" spans="5:6" ht="12.75">
      <c r="E28" s="107"/>
      <c r="F28" s="107"/>
    </row>
    <row r="29" spans="5:6" ht="12.75">
      <c r="E29" s="107"/>
      <c r="F29" s="107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Feuil9">
    <pageSetUpPr fitToPage="1"/>
  </sheetPr>
  <dimension ref="A9:G38"/>
  <sheetViews>
    <sheetView zoomScalePageLayoutView="0" workbookViewId="0" topLeftCell="A31">
      <selection activeCell="D47" sqref="D47"/>
    </sheetView>
  </sheetViews>
  <sheetFormatPr defaultColWidth="11.421875" defaultRowHeight="12.75"/>
  <cols>
    <col min="1" max="1" width="14.7109375" style="0" customWidth="1"/>
    <col min="2" max="2" width="17.28125" style="0" customWidth="1"/>
    <col min="3" max="3" width="15.8515625" style="0" customWidth="1"/>
    <col min="4" max="4" width="10.28125" style="0" customWidth="1"/>
    <col min="5" max="5" width="21.421875" style="0" customWidth="1"/>
    <col min="6" max="6" width="20.140625" style="0" customWidth="1"/>
    <col min="7" max="7" width="32.7109375" style="0" customWidth="1"/>
    <col min="8" max="8" width="18.140625" style="0" customWidth="1"/>
  </cols>
  <sheetData>
    <row r="9" spans="2:7" ht="18">
      <c r="B9" s="92" t="s">
        <v>118</v>
      </c>
      <c r="C9" s="259" t="str">
        <f>saison</f>
        <v>2018-2019</v>
      </c>
      <c r="D9" s="260"/>
      <c r="E9" s="95"/>
      <c r="F9" s="92" t="s">
        <v>119</v>
      </c>
      <c r="G9" s="110" t="str">
        <f>lieu</f>
        <v>Saint Brieuc</v>
      </c>
    </row>
    <row r="10" spans="2:5" ht="18">
      <c r="B10" s="92" t="s">
        <v>121</v>
      </c>
      <c r="C10" s="259" t="str">
        <f>date</f>
        <v>15 et 16 juin 2019</v>
      </c>
      <c r="D10" s="260"/>
      <c r="E10" s="95"/>
    </row>
    <row r="11" spans="2:5" ht="15">
      <c r="B11" s="87"/>
      <c r="C11" s="87"/>
      <c r="D11" s="87"/>
      <c r="E11" s="87"/>
    </row>
    <row r="12" spans="2:5" ht="12.75">
      <c r="B12" t="s">
        <v>133</v>
      </c>
      <c r="E12" s="89"/>
    </row>
    <row r="13" ht="12.75">
      <c r="E13" s="89"/>
    </row>
    <row r="14" spans="1:7" s="10" customFormat="1" ht="18" customHeight="1">
      <c r="A14" s="111" t="s">
        <v>139</v>
      </c>
      <c r="B14" s="111" t="s">
        <v>126</v>
      </c>
      <c r="C14" s="111" t="s">
        <v>134</v>
      </c>
      <c r="D14" s="111" t="s">
        <v>135</v>
      </c>
      <c r="E14" s="111" t="s">
        <v>136</v>
      </c>
      <c r="F14" s="111" t="s">
        <v>137</v>
      </c>
      <c r="G14" s="111" t="s">
        <v>138</v>
      </c>
    </row>
    <row r="15" spans="1:7" s="10" customFormat="1" ht="40.5" customHeight="1">
      <c r="A15" s="112" t="s">
        <v>140</v>
      </c>
      <c r="B15" s="114"/>
      <c r="C15" s="114"/>
      <c r="D15" s="112"/>
      <c r="E15" s="112"/>
      <c r="F15" s="112"/>
      <c r="G15" s="112"/>
    </row>
    <row r="16" spans="1:7" s="10" customFormat="1" ht="40.5" customHeight="1">
      <c r="A16" s="113" t="s">
        <v>141</v>
      </c>
      <c r="B16" s="114"/>
      <c r="C16" s="114"/>
      <c r="D16" s="112"/>
      <c r="E16" s="112"/>
      <c r="F16" s="112"/>
      <c r="G16" s="112"/>
    </row>
    <row r="17" spans="1:7" s="10" customFormat="1" ht="40.5" customHeight="1">
      <c r="A17" s="112" t="s">
        <v>142</v>
      </c>
      <c r="B17" s="114"/>
      <c r="C17" s="114"/>
      <c r="D17" s="112"/>
      <c r="E17" s="112"/>
      <c r="F17" s="112"/>
      <c r="G17" s="112"/>
    </row>
    <row r="18" spans="1:7" s="10" customFormat="1" ht="40.5" customHeight="1">
      <c r="A18" s="112" t="s">
        <v>142</v>
      </c>
      <c r="B18" s="114"/>
      <c r="C18" s="114"/>
      <c r="D18" s="112"/>
      <c r="E18" s="112"/>
      <c r="F18" s="112"/>
      <c r="G18" s="112"/>
    </row>
    <row r="19" spans="1:7" s="10" customFormat="1" ht="40.5" customHeight="1">
      <c r="A19" s="112" t="s">
        <v>142</v>
      </c>
      <c r="B19" s="114"/>
      <c r="C19" s="114"/>
      <c r="D19" s="112"/>
      <c r="E19" s="112"/>
      <c r="F19" s="112"/>
      <c r="G19" s="112"/>
    </row>
    <row r="20" spans="1:7" s="10" customFormat="1" ht="40.5" customHeight="1">
      <c r="A20" s="112" t="s">
        <v>142</v>
      </c>
      <c r="B20" s="114"/>
      <c r="C20" s="114"/>
      <c r="D20" s="112"/>
      <c r="E20" s="112"/>
      <c r="F20" s="112"/>
      <c r="G20" s="112"/>
    </row>
    <row r="21" spans="1:7" s="10" customFormat="1" ht="40.5" customHeight="1">
      <c r="A21" s="112" t="s">
        <v>142</v>
      </c>
      <c r="B21" s="114"/>
      <c r="C21" s="114"/>
      <c r="D21" s="112"/>
      <c r="E21" s="112"/>
      <c r="F21" s="112"/>
      <c r="G21" s="112"/>
    </row>
    <row r="22" spans="1:7" s="10" customFormat="1" ht="40.5" customHeight="1">
      <c r="A22" s="112" t="s">
        <v>142</v>
      </c>
      <c r="B22" s="114"/>
      <c r="C22" s="114"/>
      <c r="D22" s="112"/>
      <c r="E22" s="112"/>
      <c r="F22" s="112"/>
      <c r="G22" s="112"/>
    </row>
    <row r="23" spans="1:7" s="10" customFormat="1" ht="40.5" customHeight="1">
      <c r="A23" s="112" t="s">
        <v>142</v>
      </c>
      <c r="B23" s="114"/>
      <c r="C23" s="114"/>
      <c r="D23" s="112"/>
      <c r="E23" s="112"/>
      <c r="F23" s="112"/>
      <c r="G23" s="112"/>
    </row>
    <row r="24" spans="1:7" s="10" customFormat="1" ht="40.5" customHeight="1">
      <c r="A24" s="112" t="s">
        <v>142</v>
      </c>
      <c r="B24" s="114"/>
      <c r="C24" s="114"/>
      <c r="D24" s="112"/>
      <c r="E24" s="112"/>
      <c r="F24" s="112"/>
      <c r="G24" s="112"/>
    </row>
    <row r="25" spans="1:7" s="10" customFormat="1" ht="40.5" customHeight="1">
      <c r="A25" s="112" t="s">
        <v>142</v>
      </c>
      <c r="B25" s="114"/>
      <c r="C25" s="114"/>
      <c r="D25" s="112"/>
      <c r="E25" s="112"/>
      <c r="F25" s="112"/>
      <c r="G25" s="112"/>
    </row>
    <row r="26" spans="1:7" s="10" customFormat="1" ht="40.5" customHeight="1">
      <c r="A26" s="112" t="s">
        <v>142</v>
      </c>
      <c r="B26" s="114"/>
      <c r="C26" s="114"/>
      <c r="D26" s="112"/>
      <c r="E26" s="112"/>
      <c r="F26" s="112"/>
      <c r="G26" s="112"/>
    </row>
    <row r="27" spans="1:7" s="10" customFormat="1" ht="40.5" customHeight="1">
      <c r="A27" s="112" t="s">
        <v>142</v>
      </c>
      <c r="B27" s="114"/>
      <c r="C27" s="114"/>
      <c r="D27" s="112"/>
      <c r="E27" s="112"/>
      <c r="F27" s="112"/>
      <c r="G27" s="112"/>
    </row>
    <row r="28" spans="1:7" s="10" customFormat="1" ht="40.5" customHeight="1">
      <c r="A28" s="112" t="s">
        <v>142</v>
      </c>
      <c r="B28" s="114"/>
      <c r="C28" s="114"/>
      <c r="D28" s="112"/>
      <c r="E28" s="112"/>
      <c r="F28" s="112"/>
      <c r="G28" s="112"/>
    </row>
    <row r="29" spans="1:7" s="10" customFormat="1" ht="40.5" customHeight="1">
      <c r="A29" s="113" t="s">
        <v>142</v>
      </c>
      <c r="B29" s="114"/>
      <c r="C29" s="114"/>
      <c r="D29" s="112"/>
      <c r="E29" s="112"/>
      <c r="F29" s="112"/>
      <c r="G29" s="112"/>
    </row>
    <row r="30" spans="1:7" s="10" customFormat="1" ht="40.5" customHeight="1">
      <c r="A30" s="112" t="s">
        <v>142</v>
      </c>
      <c r="B30" s="114"/>
      <c r="C30" s="114"/>
      <c r="D30" s="112"/>
      <c r="E30" s="112"/>
      <c r="F30" s="112"/>
      <c r="G30" s="112"/>
    </row>
    <row r="31" spans="1:7" s="10" customFormat="1" ht="40.5" customHeight="1">
      <c r="A31" s="112" t="s">
        <v>142</v>
      </c>
      <c r="B31" s="114"/>
      <c r="C31" s="114"/>
      <c r="D31" s="112"/>
      <c r="E31" s="112"/>
      <c r="F31" s="112"/>
      <c r="G31" s="112"/>
    </row>
    <row r="32" spans="1:7" s="10" customFormat="1" ht="40.5" customHeight="1">
      <c r="A32" s="112" t="s">
        <v>142</v>
      </c>
      <c r="B32" s="114"/>
      <c r="C32" s="114"/>
      <c r="D32" s="112"/>
      <c r="E32" s="112"/>
      <c r="F32" s="112"/>
      <c r="G32" s="112"/>
    </row>
    <row r="33" spans="1:7" s="10" customFormat="1" ht="40.5" customHeight="1">
      <c r="A33" s="112" t="s">
        <v>165</v>
      </c>
      <c r="B33" s="114"/>
      <c r="C33" s="114"/>
      <c r="D33" s="112"/>
      <c r="E33" s="112"/>
      <c r="F33" s="112"/>
      <c r="G33" s="112"/>
    </row>
    <row r="34" spans="1:7" s="10" customFormat="1" ht="40.5" customHeight="1">
      <c r="A34" s="112" t="s">
        <v>165</v>
      </c>
      <c r="B34" s="114"/>
      <c r="C34" s="114"/>
      <c r="D34" s="112"/>
      <c r="E34" s="112"/>
      <c r="F34" s="112"/>
      <c r="G34" s="112"/>
    </row>
    <row r="35" spans="1:7" s="10" customFormat="1" ht="40.5" customHeight="1">
      <c r="A35" s="112" t="s">
        <v>165</v>
      </c>
      <c r="B35" s="114"/>
      <c r="C35" s="114"/>
      <c r="D35" s="112"/>
      <c r="E35" s="112"/>
      <c r="F35" s="112"/>
      <c r="G35" s="112"/>
    </row>
    <row r="36" spans="1:7" s="10" customFormat="1" ht="40.5" customHeight="1">
      <c r="A36" s="112" t="s">
        <v>165</v>
      </c>
      <c r="B36" s="114"/>
      <c r="C36" s="114"/>
      <c r="D36" s="112"/>
      <c r="E36" s="112"/>
      <c r="F36" s="112"/>
      <c r="G36" s="112"/>
    </row>
    <row r="37" spans="1:7" s="10" customFormat="1" ht="40.5" customHeight="1">
      <c r="A37" s="112" t="s">
        <v>165</v>
      </c>
      <c r="B37" s="114"/>
      <c r="C37" s="114"/>
      <c r="D37" s="112"/>
      <c r="E37" s="112"/>
      <c r="F37" s="112"/>
      <c r="G37" s="112"/>
    </row>
    <row r="38" spans="1:7" s="10" customFormat="1" ht="40.5" customHeight="1">
      <c r="A38" s="112" t="s">
        <v>165</v>
      </c>
      <c r="B38" s="114"/>
      <c r="C38" s="114"/>
      <c r="D38" s="112"/>
      <c r="E38" s="112"/>
      <c r="F38" s="112"/>
      <c r="G38" s="112"/>
    </row>
  </sheetData>
  <sheetProtection/>
  <mergeCells count="2">
    <mergeCell ref="C9:D9"/>
    <mergeCell ref="C10:D10"/>
  </mergeCells>
  <printOptions/>
  <pageMargins left="0.37" right="0.35" top="0.7480314960629921" bottom="0.7480314960629921" header="0.31496062992125984" footer="0.31496062992125984"/>
  <pageSetup fitToHeight="1" fitToWidth="1" orientation="portrait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FFESSM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CNHS</dc:creator>
  <cp:keywords/>
  <dc:description/>
  <cp:lastModifiedBy>Thierry</cp:lastModifiedBy>
  <cp:lastPrinted>2019-06-16T15:38:40Z</cp:lastPrinted>
  <dcterms:created xsi:type="dcterms:W3CDTF">1997-11-08T13:41:57Z</dcterms:created>
  <dcterms:modified xsi:type="dcterms:W3CDTF">2020-03-29T16:00:36Z</dcterms:modified>
  <cp:category/>
  <cp:version/>
  <cp:contentType/>
  <cp:contentStatus/>
</cp:coreProperties>
</file>